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смета -1000 р." r:id="rId1" sheetId="1" state="visible"/>
    <sheet name="зплата" r:id="rId2" sheetId="2" state="visible"/>
    <sheet name="ремонт дорог " r:id="rId3" sheetId="3" state="visible"/>
  </sheets>
  <definedNames/>
</workbook>
</file>

<file path=xl/comments1.xml><?xml version="1.0" encoding="utf-8"?>
<comments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authors>
    <author/>
  </authors>
  <commentList>
    <comment authorId="0" ref="C5">
      <text>
        <r>
          <t>на начало года</t>
        </r>
        <r>
          <t xml:space="preserve">
</t>
        </r>
      </text>
    </comment>
    <comment authorId="0" ref="D5">
      <text>
        <t>на конец года</t>
      </text>
    </comment>
    <comment authorId="0" ref="C7">
      <text>
        <t>на начало года</t>
      </text>
    </comment>
    <comment authorId="0" ref="D7">
      <text>
        <t>на конец года</t>
      </text>
    </comment>
    <comment authorId="0" ref="D9">
      <text>
        <t>Коклюхина, Мынов, Гапон (проценты и судебные издержки)</t>
      </text>
    </comment>
    <comment authorId="0" ref="D15">
      <text>
        <t>почтовые расходы</t>
      </text>
    </comment>
    <comment authorId="0" ref="F16">
      <text>
        <r>
          <t>18900 Контур до 29.10.2026, канцелярские товары 2000, сайт 8000</t>
        </r>
        <r>
          <t xml:space="preserve">
</t>
        </r>
      </text>
    </comment>
    <comment authorId="0" ref="F19">
      <text>
        <t>Суд. издержки Гапон и Мынов</t>
      </text>
    </comment>
  </commentList>
</comments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<sst xmlns="http://schemas.openxmlformats.org/spreadsheetml/2006/main" xmlns:a="http://schemas.openxmlformats.org/drawingml/2006/main" xmlns:a15="http://schemas.microsoft.com/office/drawing/2012/main" xmlns:asvg="http://schemas.microsoft.com/office/drawing/2016/SVG/main" xmlns:c="http://schemas.openxmlformats.org/drawingml/2006/chart" xmlns:co="http://ncloudtech.com" xmlns:co-ooxml="http://ncloudtech.com/ooxml" xmlns:m="http://schemas.openxmlformats.org/officeDocument/2006/math" xmlns:mc="http://schemas.openxmlformats.org/markup-compatibility/2006" xmlns:o="urn:schemas-microsoft-com:office:office" xmlns:p="http://schemas.openxmlformats.org/presentationml/2006/main" xmlns:pic="http://schemas.openxmlformats.org/drawingml/2006/picture" xmlns:r="http://schemas.openxmlformats.org/officeDocument/2006/relationships" xmlns:s="http://schemas.openxmlformats.org/officeDocument/2006/sharedTypes" xmlns:sl="http://schemas.openxmlformats.org/schemaLibrary/2006/main" xmlns:v="urn:schemas-microsoft-com:vml" xmlns:w="http://schemas.openxmlformats.org/wordprocessingml/2006/main" xmlns:w14="http://schemas.microsoft.com/office/word/2010/wordml" xmlns:w15="http://schemas.microsoft.com/office/word/2012/wordml" xmlns:wp="http://schemas.openxmlformats.org/drawingml/2006/wordprocessingDrawing" xmlns:wpg="http://schemas.microsoft.com/office/word/2010/wordprocessingGroup" xmlns:wps="http://schemas.microsoft.com/office/word/2010/wordprocessingShape" xmlns:x="urn:schemas-microsoft-com:office:excel" xmlns:x14="http://schemas.microsoft.com/office/spreadsheetml/2009/9/main" xmlns:xdr="http://schemas.openxmlformats.org/drawingml/2006/spreadsheetDrawing" xmlns:xm="http://schemas.microsoft.com/office/excel/2006/main" mc:Ignorable="co co-ooxml w14 x14 w15">
  <si>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Финансовый отчет СНТ «Лесное» за 2026 год </t>
  </si>
  <si>
    <t>из расчета 1000 руб. за сотку</t>
  </si>
  <si>
    <t>Начислено</t>
  </si>
  <si>
    <t>Исполнение сметы</t>
  </si>
  <si>
    <r>
      <rPr>
        <rFont val="Times New Roman"/>
        <color theme="1" tint="0"/>
        <sz val="12"/>
      </rPr>
      <t>отклонение поступление: + недополучено/ - поступило сверх запланированных</t>
    </r>
  </si>
  <si>
    <r>
      <rPr>
        <rFont val="Times New Roman"/>
        <color theme="1" tint="0"/>
        <sz val="12"/>
      </rPr>
      <t>Расходы 4 квартала</t>
    </r>
  </si>
  <si>
    <r>
      <rPr>
        <rFont val="Times New Roman"/>
        <color theme="1" tint="0"/>
        <sz val="12"/>
      </rPr>
      <t>ожидаемые поступления по искам</t>
    </r>
  </si>
  <si>
    <t>Остаток денежных средств на 01.01.2026 г.</t>
  </si>
  <si>
    <t>Поступление членских взносов</t>
  </si>
  <si>
    <t>Задолженность по членским взносам</t>
  </si>
  <si>
    <r>
      <t xml:space="preserve">Поступления на содержание инфраструктуры и территории за </t>
    </r>
    <r>
      <rPr>
        <rFont val="Times New Roman"/>
        <sz val="12"/>
      </rPr>
      <t>- 28% неуплаты</t>
    </r>
  </si>
  <si>
    <t>Задолженность по индивидуальным взносам</t>
  </si>
  <si>
    <t>В том числе безнадежная задолженность</t>
  </si>
  <si>
    <t xml:space="preserve">Прочие доходы (в т.ч. возврат от Коклюхиной и взыскание по выигранным искам, возмещение судебных расходов, госпошлины) </t>
  </si>
  <si/>
  <si>
    <t>Итого поступления</t>
  </si>
  <si>
    <r>
      <rPr>
        <rFont val="Times New Roman"/>
        <color theme="1" tint="0"/>
        <sz val="12"/>
      </rPr>
      <t>расходы на конец года</t>
    </r>
  </si>
  <si>
    <r>
      <rPr>
        <rFont val="Times New Roman"/>
        <color theme="1" tint="0"/>
        <sz val="12"/>
      </rPr>
      <t>расходы +экономия/- перерасход</t>
    </r>
    <r>
      <t xml:space="preserve">
</t>
    </r>
  </si>
  <si>
    <t>Расходы по хозяйственной деятельности</t>
  </si>
  <si>
    <t>Фонд оплаты по трудовым договорам работников (т.ч. проезд), с учетом страховых взносов</t>
  </si>
  <si>
    <t>Компенсация за использование личного автомобиля и иного имущества</t>
  </si>
  <si>
    <t xml:space="preserve">Оплата по гражданско-правовым договорам( в том числе юридические услуги) </t>
  </si>
  <si>
    <r>
      <t xml:space="preserve">Организационные расходы (канцелярские 5000 р., связь 2500 р., программное обеспечение 26000 р., проведение собраний - 30000 р., </t>
    </r>
    <r>
      <rPr>
        <rFont val="Times New Roman"/>
        <sz val="12"/>
      </rPr>
      <t>содержание сайта стоимость платформы по тариф. плану мин в месяц 693 р., если за год, то скидка 30%, оплата за домен (имя сайта) - 4900 руб.</t>
    </r>
    <r>
      <t xml:space="preserve">) </t>
    </r>
  </si>
  <si>
    <t>Банковские расходы (комиссия по электронным платежам)</t>
  </si>
  <si>
    <t>Налог на землю</t>
  </si>
  <si>
    <t>Налог по УСН</t>
  </si>
  <si>
    <t xml:space="preserve">Резервный фонд на непредвиденные расходы (в т.ч. штрафы, пени, судебные издержки - госпошлина 22 должника * 4000 руб. , др.) </t>
  </si>
  <si>
    <t>Итого расходы</t>
  </si>
  <si>
    <t>Целевые расходы на содержание инфраструктуры</t>
  </si>
  <si>
    <t>и территории</t>
  </si>
  <si>
    <t xml:space="preserve">Ремонт и содержание дорог </t>
  </si>
  <si>
    <t>Проведение субботника (расходы на установку контейнеров 3*8000 р., мусорные мешки и др. материалы 6000 руб.)</t>
  </si>
  <si>
    <t>Вывоз мусора 8,333334 куб.м (4,2 куб. м*3(контейнера))*850,79 руб. до 30.06.2026 с 01.07.2026 - 948,58 руб.</t>
  </si>
  <si>
    <t>Расходы на содержание имущества (расходы по содержанию сторожки: электроэнергия 240 Квт, тариф 4-53 руб., расходы по транспортировке эл/энергии с учетом фактических потерь 3,6%.)</t>
  </si>
  <si>
    <t xml:space="preserve">Уборка территории </t>
  </si>
  <si>
    <t>Итого расходов на содержание инфраструктуры</t>
  </si>
  <si>
    <t>Всего расходы</t>
  </si>
  <si>
    <t>Разница между доходами и расходами (остаток по текущим операциям)</t>
  </si>
  <si>
    <t xml:space="preserve">Средства на пожарную безопасность </t>
  </si>
  <si>
    <t>Задолженность по взносу на пожарную безопасность</t>
  </si>
  <si>
    <t>Остаток средств Сбер на 03.10.2026 г.</t>
  </si>
  <si>
    <t>Остаток средств на 01.01.2026</t>
  </si>
  <si>
    <t>Поступило средств за пользование опорами для Интернет</t>
  </si>
  <si>
    <t>задолженность</t>
  </si>
  <si>
    <t>Оплачено Оборонэнерго</t>
  </si>
  <si>
    <t>Остаток средств на 04.10.2026</t>
  </si>
  <si>
    <t>Остаток средств на содержание газопровода с 2025 г.</t>
  </si>
  <si>
    <t>Поступило средств на содержание газопровода</t>
  </si>
  <si>
    <t>Задолженность</t>
  </si>
  <si>
    <t>Оплачено Калининградгазификации</t>
  </si>
  <si>
    <t>Поступил взнос по догазификации</t>
  </si>
  <si>
    <t>Выплачена компенсация за строительство газопровода</t>
  </si>
  <si>
    <t>Не выплачена компенсация за строительство газопровода</t>
  </si>
  <si>
    <t>невыплаченные с 2026 г. средства за строительство газопровода</t>
  </si>
  <si>
    <t>Возврат недостачи</t>
  </si>
  <si>
    <t>Расходы банка</t>
  </si>
  <si>
    <r>
      <rPr>
        <rFont val="Times New Roman"/>
        <sz val="12"/>
      </rPr>
      <t>Остаток средств в Авангард на 07.10.2026</t>
    </r>
  </si>
  <si>
    <t>Председатель правления СНТ "Лесное" ____________ Колонтаевская Е.В.</t>
  </si>
  <si>
    <t>Приложение к смете 1</t>
  </si>
  <si>
    <t>Фонд оплаты труда СНТ</t>
  </si>
  <si>
    <t>в м-ц</t>
  </si>
  <si>
    <t>компенсация за использование личного автомобиля</t>
  </si>
  <si>
    <t>з/плата за год</t>
  </si>
  <si>
    <t>компенсация за год</t>
  </si>
  <si>
    <t>Итого в м-ц</t>
  </si>
  <si>
    <t>з/плата всего, с т.ч.</t>
  </si>
  <si>
    <t>председатель</t>
  </si>
  <si>
    <t>бухгалтер</t>
  </si>
  <si>
    <t>Администратор сайта (техник)</t>
  </si>
  <si>
    <t>Страховые взносы</t>
  </si>
  <si>
    <t>Итого</t>
  </si>
  <si>
    <t>уборщик территории по трудовому договору работа 4 раза в месяц</t>
  </si>
  <si>
    <t>Потребность в ремонте дорог СНТ "Лесное"</t>
  </si>
  <si>
    <t>1 вариант</t>
  </si>
  <si>
    <t>кол-во машин</t>
  </si>
  <si>
    <t>цена за одну машину асф. Крошка</t>
  </si>
  <si>
    <t>стоимость работ по расчистке</t>
  </si>
  <si>
    <t>стоимость подсыпки</t>
  </si>
  <si>
    <t>ул. Лесная</t>
  </si>
  <si>
    <t>пер. Лесной</t>
  </si>
  <si>
    <t>пер. Болотный</t>
  </si>
  <si>
    <t>ул. Центральная</t>
  </si>
  <si>
    <t>пер. Грушевый</t>
  </si>
  <si>
    <t>пер. Зеленый</t>
  </si>
  <si>
    <t>пер. Солнечный</t>
  </si>
  <si>
    <t>пер. Яблочный</t>
  </si>
  <si>
    <t>ул. Садовая</t>
  </si>
  <si>
    <t>пер. Садовый</t>
  </si>
  <si>
    <t>пер. Земляничный</t>
  </si>
  <si>
    <t>Дубки</t>
  </si>
  <si>
    <t>асфальтная крошка от 25000 руб. за 30 тонн</t>
  </si>
  <si>
    <r>
      <rPr>
        <rFont val="Gilroy"/>
        <b val="true"/>
        <i val="false"/>
        <strike val="false"/>
        <color rgb="F3AC14" tint="0"/>
        <sz val="12"/>
      </rPr>
      <t>PRO</t>
    </r>
    <r>
      <rPr>
        <rFont val="Gilroy"/>
        <b val="true"/>
        <i val="false"/>
        <strike val="false"/>
        <color rgb="040404" tint="0"/>
        <sz val="12"/>
      </rPr>
      <t>ДОСТАВКУ</t>
    </r>
  </si>
  <si>
    <t xml:space="preserve">миниэкскаватор аренда 3300 руб. в час </t>
  </si>
  <si>
    <t>на одну  машину время работы 3 часа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</si>
</sst>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" formatCode="#,##0.00" numFmtId="1001"/>
    <numFmt co:extendedFormatCode="0.0%" formatCode="0.0%" numFmtId="1002"/>
    <numFmt co:extendedFormatCode="#,##0.00;-#,##0.00" formatCode="#,##0.00;-#,##0.00" numFmtId="1003"/>
    <numFmt co:extendedFormatCode="0.00;-0.00" formatCode="0.00;-0.00" numFmtId="1004"/>
    <numFmt co:extendedFormatCode="0.00" formatCode="0.00" numFmtId="1005"/>
  </numFmts>
  <fonts count="13">
    <font>
      <name val="Calibri"/>
      <color theme="1" tint="0"/>
      <sz val="11"/>
    </font>
    <font>
      <color theme="1" tint="0"/>
      <sz val="11"/>
      <scheme val="minor"/>
    </font>
    <font>
      <name val="Times New Roman"/>
      <color rgb="000000" tint="0"/>
      <sz val="12"/>
    </font>
    <font>
      <name val="Times New Roman"/>
      <b val="true"/>
      <sz val="12"/>
    </font>
    <font>
      <sz val="12"/>
    </font>
    <font>
      <name val="Times New Roman"/>
      <sz val="12"/>
    </font>
    <font>
      <name val="Times New Roman"/>
      <color theme="1" tint="0"/>
      <sz val="12"/>
    </font>
    <font>
      <color theme="1" tint="0"/>
      <sz val="12"/>
      <scheme val="minor"/>
    </font>
    <font>
      <b val="true"/>
      <sz val="12"/>
    </font>
    <font>
      <name val="Times New Roman"/>
      <b val="true"/>
      <color rgb="000000" tint="0"/>
      <sz val="12"/>
    </font>
    <font>
      <name val="Times New Roman"/>
      <b val="true"/>
      <color theme="1" tint="0"/>
      <sz val="12"/>
    </font>
    <font>
      <name val="Calibri"/>
      <b val="true"/>
      <color rgb="000000" tint="0"/>
      <sz val="12"/>
    </font>
    <font>
      <name val="Times New Roman"/>
      <color rgb="000000" tint="0"/>
      <sz val="10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none"/>
      <top style="thin">
        <color rgb="000000" tint="0"/>
      </top>
      <bottom style="thick">
        <color rgb="000000" tint="0"/>
      </bottom>
    </border>
    <border>
      <top style="thin">
        <color rgb="000000" tint="0"/>
      </top>
      <bottom style="thick">
        <color rgb="000000" tint="0"/>
      </bottom>
    </border>
    <border>
      <right style="none"/>
      <top style="thin">
        <color rgb="000000" tint="0"/>
      </top>
      <bottom style="thick">
        <color rgb="000000" tint="0"/>
      </bottom>
    </border>
    <border>
      <left style="thick">
        <color rgb="000000" tint="0"/>
      </left>
      <right style="thin">
        <color rgb="000000" tint="0"/>
      </right>
      <top style="thick">
        <color rgb="000000" tint="0"/>
      </top>
      <bottom style="thick">
        <color rgb="000000" tint="0"/>
      </bottom>
    </border>
    <border>
      <left style="thin">
        <color rgb="000000" tint="0"/>
      </left>
      <right style="thin">
        <color rgb="000000" tint="0"/>
      </right>
      <top style="thick">
        <color rgb="000000" tint="0"/>
      </top>
      <bottom style="thick">
        <color rgb="000000" tint="0"/>
      </bottom>
    </border>
    <border>
      <left style="thin">
        <color rgb="000000" tint="0"/>
      </left>
      <right style="thick">
        <color rgb="000000" tint="0"/>
      </right>
      <top style="thick">
        <color rgb="000000" tint="0"/>
      </top>
      <bottom style="thick">
        <color rgb="000000" tint="0"/>
      </bottom>
    </border>
    <border>
      <left style="thin">
        <color rgb="000000" tint="0"/>
      </left>
      <right style="thin">
        <color rgb="000000" tint="0"/>
      </right>
      <top style="thick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ck">
        <color rgb="000000" tint="0"/>
      </bottom>
    </border>
  </borders>
  <cellStyleXfs count="1">
    <xf applyFont="true" applyNumberFormat="true" borderId="0" fillId="0" fontId="1" numFmtId="1000" quotePrefix="false"/>
  </cellStyleXfs>
  <cellXfs count="80">
    <xf applyFont="true" applyNumberFormat="true" borderId="0" fillId="0" fontId="1" numFmtId="1000" quotePrefix="false"/>
    <xf applyFont="true" applyNumberFormat="true" borderId="0" fillId="0" fontId="1" numFmtId="1001" quotePrefix="false"/>
    <xf applyFont="true" applyNumberFormat="true" borderId="0" fillId="0" fontId="2" numFmtId="1001" quotePrefix="false"/>
    <xf applyFont="true" applyNumberFormat="true" borderId="0" fillId="0" fontId="1" numFmtId="1002" quotePrefix="false"/>
    <xf applyAlignment="true" applyBorder="true" applyFont="true" applyNumberFormat="true" borderId="1" fillId="0" fontId="3" numFmtId="1000" quotePrefix="false">
      <alignment horizontal="center"/>
    </xf>
    <xf applyAlignment="true" applyBorder="true" applyFont="true" applyNumberFormat="true" borderId="2" fillId="0" fontId="3" numFmtId="1000" quotePrefix="false">
      <alignment horizontal="center"/>
    </xf>
    <xf applyAlignment="true" applyBorder="true" applyFont="true" applyNumberFormat="true" borderId="3" fillId="0" fontId="3" numFmtId="1000" quotePrefix="false">
      <alignment horizontal="center"/>
    </xf>
    <xf applyFont="true" applyNumberFormat="true" borderId="0" fillId="0" fontId="1" numFmtId="1003" quotePrefix="false"/>
    <xf applyFont="true" borderId="0" fillId="0" fontId="4" quotePrefix="false"/>
    <xf applyBorder="true" applyFont="true" applyNumberFormat="true" borderId="4" fillId="0" fontId="5" numFmtId="1000" quotePrefix="false"/>
    <xf applyAlignment="true" applyBorder="true" applyFont="true" applyNumberFormat="true" borderId="5" fillId="0" fontId="5" numFmtId="1001" quotePrefix="false">
      <alignment wrapText="true"/>
    </xf>
    <xf applyAlignment="true" applyBorder="true" applyFont="true" applyNumberFormat="true" borderId="5" fillId="0" fontId="2" numFmtId="1001" quotePrefix="false">
      <alignment wrapText="true"/>
    </xf>
    <xf applyAlignment="true" applyBorder="true" applyFont="true" applyNumberFormat="true" borderId="5" fillId="0" fontId="6" numFmtId="1003" quotePrefix="false">
      <alignment wrapText="true"/>
    </xf>
    <xf applyAlignment="true" applyBorder="true" applyFont="true" applyNumberFormat="true" borderId="5" fillId="0" fontId="6" numFmtId="1000" quotePrefix="false">
      <alignment wrapText="true"/>
    </xf>
    <xf applyBorder="true" applyFont="true" applyNumberFormat="true" borderId="6" fillId="0" fontId="6" numFmtId="1000" quotePrefix="false"/>
    <xf applyAlignment="true" applyBorder="true" applyFont="true" applyNumberFormat="true" borderId="7" fillId="0" fontId="5" numFmtId="1000" quotePrefix="false">
      <alignment wrapText="true"/>
    </xf>
    <xf applyBorder="true" applyFont="true" applyNumberFormat="true" borderId="7" fillId="0" fontId="5" numFmtId="1001" quotePrefix="false"/>
    <xf applyBorder="true" applyFont="true" applyNumberFormat="true" borderId="7" fillId="0" fontId="6" numFmtId="1003" quotePrefix="false"/>
    <xf applyBorder="true" applyFont="true" applyNumberFormat="true" borderId="7" fillId="0" fontId="6" numFmtId="1000" quotePrefix="false"/>
    <xf applyAlignment="true" applyBorder="true" applyFont="true" applyNumberFormat="true" borderId="8" fillId="0" fontId="5" numFmtId="1000" quotePrefix="false">
      <alignment wrapText="true"/>
    </xf>
    <xf applyBorder="true" applyFont="true" applyNumberFormat="true" borderId="8" fillId="0" fontId="5" numFmtId="1001" quotePrefix="false"/>
    <xf applyBorder="true" applyFont="true" applyNumberFormat="true" borderId="8" fillId="0" fontId="6" numFmtId="1003" quotePrefix="false"/>
    <xf applyBorder="true" applyFont="true" applyNumberFormat="true" borderId="8" fillId="0" fontId="6" numFmtId="1000" quotePrefix="false"/>
    <xf applyBorder="true" applyFont="true" applyNumberFormat="true" borderId="8" fillId="0" fontId="5" numFmtId="1000" quotePrefix="false"/>
    <xf applyBorder="true" applyFont="true" applyNumberFormat="true" borderId="8" fillId="0" fontId="2" numFmtId="1001" quotePrefix="false"/>
    <xf applyAlignment="true" applyBorder="true" applyFont="true" applyNumberFormat="true" borderId="9" fillId="0" fontId="5" numFmtId="1000" quotePrefix="false">
      <alignment wrapText="true"/>
    </xf>
    <xf applyBorder="true" applyFont="true" applyNumberFormat="true" borderId="9" fillId="0" fontId="5" numFmtId="1001" quotePrefix="false"/>
    <xf applyBorder="true" applyFont="true" applyNumberFormat="true" borderId="9" fillId="0" fontId="2" numFmtId="1001" quotePrefix="false"/>
    <xf applyBorder="true" applyFont="true" applyNumberFormat="true" borderId="9" fillId="0" fontId="6" numFmtId="1003" quotePrefix="false"/>
    <xf applyBorder="true" applyFont="true" applyNumberFormat="true" borderId="9" fillId="0" fontId="6" numFmtId="1000" quotePrefix="false"/>
    <xf applyBorder="true" applyFont="true" applyNumberFormat="true" borderId="9" fillId="0" fontId="7" numFmtId="1000" quotePrefix="false"/>
    <xf applyFont="true" borderId="0" fillId="0" fontId="8" quotePrefix="false"/>
    <xf applyBorder="true" applyFont="true" applyNumberFormat="true" borderId="4" fillId="0" fontId="3" numFmtId="1000" quotePrefix="false"/>
    <xf applyBorder="true" applyFont="true" applyNumberFormat="true" borderId="5" fillId="0" fontId="9" numFmtId="1001" quotePrefix="false"/>
    <xf applyBorder="true" applyFont="true" applyNumberFormat="true" borderId="5" fillId="0" fontId="10" numFmtId="1003" quotePrefix="false"/>
    <xf applyBorder="true" applyFont="true" borderId="5" fillId="0" fontId="3" quotePrefix="false"/>
    <xf applyBorder="true" applyFont="true" borderId="6" fillId="0" fontId="3" quotePrefix="false"/>
    <xf applyBorder="true" applyFont="true" applyNumberFormat="true" borderId="5" fillId="0" fontId="2" numFmtId="1001" quotePrefix="false"/>
    <xf applyBorder="true" applyFont="true" applyNumberFormat="true" borderId="5" fillId="0" fontId="6" numFmtId="1003" quotePrefix="false"/>
    <xf applyBorder="true" applyFont="true" applyNumberFormat="true" borderId="5" fillId="0" fontId="6" numFmtId="1000" quotePrefix="false"/>
    <xf applyAlignment="true" applyBorder="true" applyFont="true" applyNumberFormat="true" borderId="6" fillId="0" fontId="6" numFmtId="1000" quotePrefix="false">
      <alignment wrapText="true"/>
    </xf>
    <xf applyBorder="true" applyFont="true" applyNumberFormat="true" borderId="7" fillId="0" fontId="5" numFmtId="1000" quotePrefix="false"/>
    <xf applyBorder="true" applyFont="true" applyNumberFormat="true" borderId="7" fillId="0" fontId="2" numFmtId="1001" quotePrefix="false"/>
    <xf applyBorder="true" applyFont="true" applyNumberFormat="true" borderId="8" fillId="0" fontId="5" numFmtId="1004" quotePrefix="false"/>
    <xf applyBorder="true" applyFont="true" applyNumberFormat="true" borderId="9" fillId="0" fontId="5" numFmtId="1000" quotePrefix="false"/>
    <xf applyFont="true" applyNumberFormat="true" borderId="0" fillId="0" fontId="11" numFmtId="1000" quotePrefix="false"/>
    <xf applyBorder="true" applyFont="true" applyNumberFormat="true" borderId="5" fillId="0" fontId="3" numFmtId="1001" quotePrefix="false"/>
    <xf applyBorder="true" applyFont="true" applyNumberFormat="true" borderId="5" fillId="0" fontId="9" numFmtId="1000" quotePrefix="false"/>
    <xf applyBorder="true" applyFont="true" applyNumberFormat="true" borderId="6" fillId="0" fontId="10" numFmtId="1000" quotePrefix="false"/>
    <xf applyBorder="true" applyFont="true" applyNumberFormat="true" borderId="7" fillId="0" fontId="3" numFmtId="1000" quotePrefix="false"/>
    <xf applyBorder="true" applyFont="true" applyNumberFormat="true" borderId="7" fillId="0" fontId="3" numFmtId="1001" quotePrefix="false"/>
    <xf applyBorder="true" applyFont="true" applyNumberFormat="true" borderId="7" fillId="0" fontId="9" numFmtId="1001" quotePrefix="false"/>
    <xf applyBorder="true" applyFont="true" applyNumberFormat="true" borderId="7" fillId="0" fontId="9" numFmtId="1000" quotePrefix="false"/>
    <xf applyAlignment="true" applyFont="true" applyNumberFormat="true" borderId="0" fillId="0" fontId="7" numFmtId="1000" quotePrefix="false">
      <alignment vertical="top"/>
    </xf>
    <xf applyAlignment="true" applyBorder="true" applyFont="true" applyNumberFormat="true" borderId="8" fillId="0" fontId="5" numFmtId="1000" quotePrefix="false">
      <alignment vertical="top" wrapText="true"/>
    </xf>
    <xf applyAlignment="true" applyBorder="true" applyFont="true" applyNumberFormat="true" borderId="8" fillId="0" fontId="5" numFmtId="1001" quotePrefix="false">
      <alignment vertical="top"/>
    </xf>
    <xf applyAlignment="true" applyBorder="true" applyFont="true" applyNumberFormat="true" borderId="8" fillId="0" fontId="2" numFmtId="1001" quotePrefix="false">
      <alignment vertical="top"/>
    </xf>
    <xf applyAlignment="true" applyBorder="true" applyFont="true" applyNumberFormat="true" borderId="8" fillId="0" fontId="6" numFmtId="1000" quotePrefix="false">
      <alignment vertical="top"/>
    </xf>
    <xf applyBorder="true" applyFont="true" applyNumberFormat="true" borderId="6" fillId="0" fontId="3" numFmtId="1001" quotePrefix="false"/>
    <xf applyAlignment="true" applyBorder="true" applyFont="true" applyNumberFormat="true" borderId="4" fillId="0" fontId="3" numFmtId="1000" quotePrefix="false">
      <alignment wrapText="true"/>
    </xf>
    <xf applyBorder="true" applyFont="true" applyNumberFormat="true" borderId="5" fillId="0" fontId="5" numFmtId="1001" quotePrefix="false"/>
    <xf applyBorder="true" applyFont="true" applyNumberFormat="true" borderId="7" fillId="0" fontId="7" numFmtId="1003" quotePrefix="false"/>
    <xf applyBorder="true" applyFont="true" applyNumberFormat="true" borderId="8" fillId="0" fontId="7" numFmtId="1003" quotePrefix="false"/>
    <xf applyBorder="true" applyFont="true" applyNumberFormat="true" borderId="9" fillId="0" fontId="7" numFmtId="1003" quotePrefix="false"/>
    <xf applyBorder="true" applyFont="true" applyNumberFormat="true" borderId="5" fillId="0" fontId="7" numFmtId="1003" quotePrefix="false"/>
    <xf applyFont="true" applyNumberFormat="true" borderId="0" fillId="0" fontId="2" numFmtId="1000" quotePrefix="false"/>
    <xf applyFont="true" applyNumberFormat="true" borderId="0" fillId="0" fontId="5" numFmtId="1000" quotePrefix="false"/>
    <xf applyFont="true" applyNumberFormat="true" borderId="0" fillId="0" fontId="5" numFmtId="1005" quotePrefix="false"/>
    <xf applyAlignment="true" applyBorder="true" applyFont="true" applyNumberFormat="true" borderId="8" fillId="0" fontId="5" numFmtId="1000" quotePrefix="false">
      <alignment vertical="center" wrapText="true"/>
    </xf>
    <xf applyBorder="true" applyFont="true" applyNumberFormat="true" borderId="8" fillId="0" fontId="5" numFmtId="1005" quotePrefix="false"/>
    <xf applyAlignment="true" applyBorder="true" applyFont="true" applyNumberFormat="true" borderId="8" fillId="0" fontId="2" numFmtId="1000" quotePrefix="false">
      <alignment vertical="top" wrapText="true"/>
    </xf>
    <xf applyBorder="true" applyFont="true" applyNumberFormat="true" borderId="8" fillId="0" fontId="12" numFmtId="1005" quotePrefix="false"/>
    <xf applyFont="true" applyNumberFormat="true" borderId="0" fillId="0" fontId="12" numFmtId="1000" quotePrefix="false"/>
    <xf applyAlignment="true" applyBorder="true" applyFont="true" applyNumberFormat="true" borderId="8" fillId="0" fontId="5" numFmtId="1000" quotePrefix="false">
      <alignment vertical="center"/>
    </xf>
    <xf applyBorder="true" applyFont="true" applyNumberFormat="true" borderId="8" fillId="0" fontId="2" numFmtId="1000" quotePrefix="false"/>
    <xf applyFont="true" applyNumberFormat="true" borderId="0" fillId="0" fontId="1" numFmtId="1005" quotePrefix="false"/>
    <xf applyBorder="true" applyFont="true" applyNumberFormat="true" borderId="8" fillId="0" fontId="1" numFmtId="1000" quotePrefix="false"/>
    <xf applyAlignment="true" applyBorder="true" applyFont="true" applyNumberFormat="true" borderId="8" fillId="0" fontId="1" numFmtId="1000" quotePrefix="false">
      <alignment wrapText="true"/>
    </xf>
    <xf applyAlignment="true" applyFont="true" applyNumberFormat="true" borderId="0" fillId="0" fontId="1" numFmtId="1000" quotePrefix="false">
      <alignment horizontal="left" indent="0"/>
    </xf>
    <xf applyFont="true" applyNumberFormat="true" borderId="0" fillId="0" fontId="7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theme/theme1.xml" Type="http://schemas.openxmlformats.org/officeDocument/2006/relationships/theme"/>
  <Relationship Id="rId5" Target="styles.xml" Type="http://schemas.openxmlformats.org/officeDocument/2006/relationships/styles"/>
  <Relationship Id="rId4" Target="sharedStrings.xml" Type="http://schemas.openxmlformats.org/officeDocument/2006/relationships/sharedStrings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2" Target="../drawings/vmlDrawing1.vml" Type="http://schemas.openxmlformats.org/officeDocument/2006/relationships/vmlDrawing"/>
  <Relationship Id="rId1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H58"/>
  <sheetViews>
    <sheetView showZeros="true" workbookViewId="0"/>
  </sheetViews>
  <sheetFormatPr baseColWidth="8" customHeight="false" defaultColWidth="9.1093749022008" defaultRowHeight="15.6000003814697" zeroHeight="false"/>
  <cols>
    <col customWidth="true" max="1" min="1" outlineLevel="0" width="73.6640606616394"/>
    <col customWidth="true" hidden="false" max="2" min="2" outlineLevel="0" style="1" width="16.1630031192552"/>
    <col customWidth="true" hidden="false" max="3" min="3" outlineLevel="0" style="2" width="12.3458995047998"/>
    <col customWidth="true" hidden="false" max="4" min="4" outlineLevel="0" style="2" width="13.8359206454975"/>
    <col customWidth="true" hidden="false" max="5" min="5" outlineLevel="0" style="3" width="16.8159737535286"/>
    <col customWidth="true" hidden="false" max="6" min="6" outlineLevel="0" width="11.494454986317"/>
    <col customWidth="true" hidden="false" max="7" min="7" outlineLevel="0" width="14.1826761311762"/>
    <col bestFit="true" customWidth="true" max="8" min="8" outlineLevel="0" width="11.4917375007761"/>
  </cols>
  <sheetData>
    <row outlineLevel="0" r="1">
      <c r="A1" s="4" t="s">
        <v>0</v>
      </c>
      <c r="B1" s="5" t="s"/>
      <c r="C1" s="5" t="s"/>
      <c r="D1" s="6" t="s"/>
      <c r="E1" s="7" t="n"/>
    </row>
    <row customFormat="true" ht="31.2000007629395" outlineLevel="0" r="2" s="8">
      <c r="A2" s="9" t="n"/>
      <c r="B2" s="10" t="s">
        <v>1</v>
      </c>
      <c r="C2" s="11" t="s">
        <v>2</v>
      </c>
      <c r="D2" s="11" t="s">
        <v>3</v>
      </c>
      <c r="E2" s="12" t="s">
        <v>4</v>
      </c>
      <c r="F2" s="13" t="s">
        <v>5</v>
      </c>
      <c r="G2" s="13" t="s">
        <v>6</v>
      </c>
      <c r="H2" s="14" t="n"/>
    </row>
    <row customFormat="true" ht="15.6000003814697" outlineLevel="0" r="3" s="8">
      <c r="A3" s="15" t="s">
        <v>7</v>
      </c>
      <c r="B3" s="16" t="n">
        <f aca="false" ca="false" dt2D="false" dtr="false" t="normal">91467.28-83427.31</f>
        <v>8039.970000000001</v>
      </c>
      <c r="C3" s="16" t="n"/>
      <c r="D3" s="16" t="n">
        <f aca="false" ca="false" dt2D="false" dtr="false" t="normal">91467.28-83427.31</f>
        <v>8039.970000000001</v>
      </c>
      <c r="E3" s="17" t="n"/>
      <c r="F3" s="18" t="n"/>
      <c r="G3" s="18" t="n"/>
      <c r="H3" s="18" t="n"/>
    </row>
    <row customFormat="true" ht="15.6000003814697" outlineLevel="0" r="4" s="8">
      <c r="A4" s="19" t="s">
        <v>8</v>
      </c>
      <c r="B4" s="20" t="n">
        <v>752740.5</v>
      </c>
      <c r="C4" s="20" t="n">
        <v>708671.79</v>
      </c>
      <c r="D4" s="20" t="n">
        <f aca="false" ca="false" dt2D="false" dtr="false" t="normal">603914.44+9361.46+9360+7650</f>
        <v>630285.8999999999</v>
      </c>
      <c r="E4" s="21" t="n">
        <f aca="false" ca="false" dt2D="false" dtr="false" t="normal">SUM(B4-D4)</f>
        <v>122454.6000000001</v>
      </c>
      <c r="F4" s="22" t="n"/>
      <c r="G4" s="22" t="n"/>
      <c r="H4" s="22" t="n"/>
    </row>
    <row customFormat="true" ht="15.6000003814697" outlineLevel="0" r="5" s="8">
      <c r="A5" s="23" t="s">
        <v>9</v>
      </c>
      <c r="B5" s="20" t="n"/>
      <c r="C5" s="24" t="n">
        <v>10979.26</v>
      </c>
      <c r="D5" s="24" t="n">
        <v>34214.4</v>
      </c>
      <c r="E5" s="21" t="n"/>
      <c r="F5" s="22" t="n"/>
      <c r="G5" s="22" t="n"/>
      <c r="H5" s="22" t="n"/>
    </row>
    <row customFormat="true" ht="15.6000003814697" outlineLevel="0" r="6" s="8">
      <c r="A6" s="23" t="s">
        <v>10</v>
      </c>
      <c r="B6" s="20" t="n">
        <v>581580.91</v>
      </c>
      <c r="C6" s="24" t="n">
        <v>681029.01</v>
      </c>
      <c r="D6" s="24" t="n">
        <f aca="false" ca="false" dt2D="false" dtr="false" t="normal">498654.41-46042.24+56822.39+67053.01</f>
        <v>576487.57</v>
      </c>
      <c r="E6" s="21" t="n">
        <f aca="false" ca="false" dt2D="false" dtr="false" t="normal">SUM(B6-D6)</f>
        <v>5093.340000000084</v>
      </c>
      <c r="F6" s="22" t="n"/>
      <c r="G6" s="22" t="n"/>
      <c r="H6" s="22" t="n"/>
    </row>
    <row customFormat="true" customHeight="true" hidden="false" ht="15.6000213623047" outlineLevel="0" r="7" s="8">
      <c r="A7" s="19" t="s">
        <v>11</v>
      </c>
      <c r="B7" s="20" t="n"/>
      <c r="C7" s="24" t="n">
        <v>305033.65</v>
      </c>
      <c r="D7" s="24" t="n">
        <v>363070.3</v>
      </c>
      <c r="E7" s="21" t="n"/>
      <c r="F7" s="22" t="n"/>
      <c r="G7" s="22" t="n">
        <v>127480.55</v>
      </c>
      <c r="H7" s="22" t="n"/>
    </row>
    <row customFormat="true" customHeight="true" hidden="false" ht="15.5999908447266" outlineLevel="0" r="8" s="8">
      <c r="A8" s="19" t="s">
        <v>12</v>
      </c>
      <c r="B8" s="20" t="n"/>
      <c r="C8" s="24" t="n"/>
      <c r="D8" s="24" t="n">
        <v>67400</v>
      </c>
      <c r="E8" s="21" t="n"/>
      <c r="F8" s="22" t="n"/>
      <c r="G8" s="22" t="n"/>
      <c r="H8" s="22" t="n"/>
    </row>
    <row customFormat="true" ht="31.2000007629395" outlineLevel="0" r="9" s="8">
      <c r="A9" s="25" t="s">
        <v>13</v>
      </c>
      <c r="B9" s="26" t="n">
        <v>56715.36</v>
      </c>
      <c r="C9" s="27" t="n"/>
      <c r="D9" s="27" t="n">
        <f aca="false" ca="false" dt2D="false" dtr="false" t="normal">43475.28+25976.89+22065.35</f>
        <v>91517.51999999999</v>
      </c>
      <c r="E9" s="28" t="n">
        <f aca="false" ca="false" dt2D="false" dtr="false" t="normal">SUM(B9-D9)</f>
        <v>-34802.15999999999</v>
      </c>
      <c r="F9" s="29" t="n"/>
      <c r="G9" s="30" t="s">
        <v>14</v>
      </c>
      <c r="H9" s="29" t="n"/>
    </row>
    <row customFormat="true" ht="15.6000003814697" outlineLevel="0" r="10" s="31">
      <c r="A10" s="32" t="s">
        <v>15</v>
      </c>
      <c r="B10" s="33" t="n">
        <f aca="false" ca="false" dt2D="false" dtr="false" t="normal">SUM(B3:B9)</f>
        <v>1399076.74</v>
      </c>
      <c r="C10" s="33" t="n"/>
      <c r="D10" s="33" t="n">
        <f aca="false" ca="false" dt2D="false" dtr="false" t="normal">SUM(D3, D4, D6, D9)</f>
        <v>1306330.96</v>
      </c>
      <c r="E10" s="34" t="n">
        <f aca="false" ca="false" dt2D="false" dtr="false" t="normal">SUM(B10-D10)</f>
        <v>92745.78000000003</v>
      </c>
      <c r="F10" s="35" t="n"/>
      <c r="G10" s="35" t="n">
        <f aca="false" ca="false" dt2D="false" dtr="false" t="normal">SUM(G3:G9)</f>
        <v>127480.55</v>
      </c>
      <c r="H10" s="36" t="n"/>
    </row>
    <row customFormat="true" ht="15.6000003814697" outlineLevel="0" r="11" s="8">
      <c r="A11" s="9" t="n"/>
      <c r="B11" s="37" t="n"/>
      <c r="C11" s="37" t="n"/>
      <c r="D11" s="37" t="n"/>
      <c r="E11" s="38" t="n"/>
      <c r="F11" s="39" t="n"/>
      <c r="G11" s="13" t="s">
        <v>16</v>
      </c>
      <c r="H11" s="40" t="s">
        <v>17</v>
      </c>
    </row>
    <row customFormat="true" ht="15.6000003814697" outlineLevel="0" r="12" s="8">
      <c r="A12" s="41" t="s">
        <v>18</v>
      </c>
      <c r="B12" s="42" t="n"/>
      <c r="C12" s="42" t="n"/>
      <c r="D12" s="42" t="n"/>
      <c r="E12" s="17" t="n"/>
      <c r="F12" s="18" t="n"/>
      <c r="G12" s="18" t="n"/>
      <c r="H12" s="18" t="n"/>
    </row>
    <row customFormat="true" ht="31.2000007629395" outlineLevel="0" r="13" s="8">
      <c r="A13" s="19" t="s">
        <v>19</v>
      </c>
      <c r="B13" s="24" t="n">
        <v>390600</v>
      </c>
      <c r="C13" s="24" t="n"/>
      <c r="D13" s="24" t="n">
        <f aca="false" ca="false" dt2D="false" dtr="false" t="normal">(10500+7000+4000+10500)*4+(10500+7000+10500)*5+52397-82026</f>
        <v>238371</v>
      </c>
      <c r="E13" s="21" t="n">
        <f aca="false" ca="false" dt2D="false" dtr="false" t="normal">SUM(B13-D13)</f>
        <v>152229</v>
      </c>
      <c r="F13" s="22" t="n">
        <f aca="false" ca="false" dt2D="false" dtr="false" t="normal">21500*3+10500*3+6493*3-27342</f>
        <v>88137</v>
      </c>
      <c r="G13" s="22" t="n">
        <f aca="false" ca="false" dt2D="false" dtr="false" t="normal">SUM(D13+F13)</f>
        <v>326508</v>
      </c>
      <c r="H13" s="21" t="n">
        <f aca="false" ca="false" dt2D="false" dtr="false" t="normal">10500*30.2/100*12+4000*5+4000*30.2/100*5</f>
        <v>64092</v>
      </c>
    </row>
    <row customFormat="true" ht="15.6000003814697" outlineLevel="0" r="14" s="8">
      <c r="A14" s="23" t="s">
        <v>20</v>
      </c>
      <c r="B14" s="24" t="n">
        <v>108000</v>
      </c>
      <c r="C14" s="24" t="n"/>
      <c r="D14" s="24" t="n">
        <f aca="false" ca="false" dt2D="false" dtr="false" t="normal">4500*2*9</f>
        <v>81000</v>
      </c>
      <c r="E14" s="21" t="n">
        <f aca="false" ca="false" dt2D="false" dtr="false" t="normal">SUM(B14-D14)</f>
        <v>27000</v>
      </c>
      <c r="F14" s="22" t="n">
        <f aca="false" ca="false" dt2D="false" dtr="false" t="normal">9000*3</f>
        <v>27000</v>
      </c>
      <c r="G14" s="22" t="n">
        <f aca="false" ca="false" dt2D="false" dtr="false" t="normal">SUM(D14+F14)</f>
        <v>108000</v>
      </c>
      <c r="H14" s="22" t="n">
        <f aca="false" ca="false" dt2D="false" dtr="false" t="normal">SUM(B14-G14)</f>
        <v>0</v>
      </c>
    </row>
    <row customFormat="true" customHeight="true" hidden="false" ht="18.5068359375" outlineLevel="0" r="15" s="8">
      <c r="A15" s="19" t="s">
        <v>21</v>
      </c>
      <c r="B15" s="20" t="n">
        <v>120000</v>
      </c>
      <c r="C15" s="24" t="n"/>
      <c r="D15" s="24" t="n">
        <v>10638.69</v>
      </c>
      <c r="E15" s="21" t="n">
        <f aca="false" ca="false" dt2D="false" dtr="false" t="normal">SUM(B15-D15)</f>
        <v>109361.31</v>
      </c>
      <c r="F15" s="22" t="n"/>
      <c r="G15" s="22" t="n">
        <f aca="false" ca="false" dt2D="false" dtr="false" t="normal">SUM(D15+F15)</f>
        <v>10638.69</v>
      </c>
      <c r="H15" s="22" t="n">
        <f aca="false" ca="false" dt2D="false" dtr="false" t="normal">SUM(B15-G15)</f>
        <v>109361.31</v>
      </c>
    </row>
    <row customFormat="true" ht="31.2000007629395" outlineLevel="0" r="16" s="8">
      <c r="A16" s="19" t="s">
        <v>22</v>
      </c>
      <c r="B16" s="43" t="n">
        <v>74221.2</v>
      </c>
      <c r="C16" s="24" t="n"/>
      <c r="D16" s="24" t="n">
        <f aca="false" ca="false" dt2D="false" dtr="false" t="normal">10868+3075+3000</f>
        <v>16943</v>
      </c>
      <c r="E16" s="21" t="n">
        <f aca="false" ca="false" dt2D="false" dtr="false" t="normal">SUM(B16-D16)</f>
        <v>57278.2</v>
      </c>
      <c r="F16" s="22" t="n">
        <f aca="false" ca="false" dt2D="false" dtr="false" t="normal">18900+2000+8000</f>
        <v>28900</v>
      </c>
      <c r="G16" s="22" t="n">
        <f aca="false" ca="false" dt2D="false" dtr="false" t="normal">SUM(D16+F16)</f>
        <v>45843</v>
      </c>
      <c r="H16" s="22" t="n">
        <f aca="false" ca="false" dt2D="false" dtr="false" t="normal">SUM(B16-G16)</f>
        <v>28378.199999999997</v>
      </c>
    </row>
    <row customFormat="true" ht="15.6000003814697" outlineLevel="0" r="17" s="8">
      <c r="A17" s="19" t="s">
        <v>23</v>
      </c>
      <c r="B17" s="20" t="n">
        <v>41962.97</v>
      </c>
      <c r="C17" s="24" t="n"/>
      <c r="D17" s="24" t="n">
        <f aca="false" ca="false" dt2D="false" dtr="false" t="normal">20716.93+1798.82+19475.22+9217.89+286.34-13850.51</f>
        <v>37644.689999999995</v>
      </c>
      <c r="E17" s="21" t="n">
        <f aca="false" ca="false" dt2D="false" dtr="false" t="normal">SUM(B17-D17)</f>
        <v>4318.280000000006</v>
      </c>
      <c r="F17" s="22" t="n">
        <v>10000</v>
      </c>
      <c r="G17" s="22" t="n">
        <f aca="false" ca="false" dt2D="false" dtr="false" t="normal">SUM(D17+F17)</f>
        <v>47644.689999999995</v>
      </c>
      <c r="H17" s="22" t="n">
        <f aca="false" ca="false" dt2D="false" dtr="false" t="normal">SUM(B17-G17)</f>
        <v>-5681.719999999994</v>
      </c>
    </row>
    <row customFormat="true" ht="15.6000003814697" outlineLevel="0" r="18" s="8">
      <c r="A18" s="23" t="s">
        <v>24</v>
      </c>
      <c r="B18" s="20" t="n">
        <v>0</v>
      </c>
      <c r="C18" s="24" t="n"/>
      <c r="D18" s="24" t="n"/>
      <c r="E18" s="21" t="n">
        <f aca="false" ca="false" dt2D="false" dtr="false" t="normal">SUM(B18-D18)</f>
        <v>0</v>
      </c>
      <c r="F18" s="22" t="n"/>
      <c r="G18" s="22" t="n">
        <f aca="false" ca="false" dt2D="false" dtr="false" t="normal">SUM(D18+F18)</f>
        <v>0</v>
      </c>
      <c r="H18" s="22" t="n">
        <f aca="false" ca="false" dt2D="false" dtr="false" t="normal">SUM(B18-G18)</f>
        <v>0</v>
      </c>
    </row>
    <row customFormat="true" ht="15.6000003814697" outlineLevel="0" r="19" s="8">
      <c r="A19" s="23" t="s">
        <v>25</v>
      </c>
      <c r="B19" s="20" t="n">
        <v>5918.82</v>
      </c>
      <c r="C19" s="24" t="n"/>
      <c r="D19" s="24" t="n"/>
      <c r="E19" s="21" t="n">
        <f aca="false" ca="false" dt2D="false" dtr="false" t="normal">SUM(B19-D19)</f>
        <v>5918.82</v>
      </c>
      <c r="F19" s="22" t="n">
        <v>7206</v>
      </c>
      <c r="G19" s="22" t="n">
        <f aca="false" ca="false" dt2D="false" dtr="false" t="normal">SUM(D19+F19)</f>
        <v>7206</v>
      </c>
      <c r="H19" s="22" t="n">
        <f aca="false" ca="false" dt2D="false" dtr="false" t="normal">SUM(B19-G19)</f>
        <v>-1287.1800000000003</v>
      </c>
    </row>
    <row customFormat="true" ht="31.2000007629395" outlineLevel="0" r="20" s="8">
      <c r="A20" s="19" t="s">
        <v>26</v>
      </c>
      <c r="B20" s="20" t="n">
        <v>88000</v>
      </c>
      <c r="C20" s="24" t="n"/>
      <c r="D20" s="24" t="n">
        <v>24000</v>
      </c>
      <c r="E20" s="21" t="n">
        <f aca="false" ca="false" dt2D="false" dtr="false" t="normal">SUM(B20-D20)</f>
        <v>64000</v>
      </c>
      <c r="F20" s="22" t="n"/>
      <c r="G20" s="22" t="n">
        <f aca="false" ca="false" dt2D="false" dtr="false" t="normal">SUM(D20+F20)</f>
        <v>24000</v>
      </c>
      <c r="H20" s="22" t="n">
        <f aca="false" ca="false" dt2D="false" dtr="false" t="normal">SUM(B20-G20)</f>
        <v>64000</v>
      </c>
    </row>
    <row customFormat="true" ht="15.6000003814697" outlineLevel="0" r="21" s="8">
      <c r="A21" s="44" t="n"/>
      <c r="B21" s="27" t="n"/>
      <c r="C21" s="27" t="n"/>
      <c r="D21" s="27" t="n"/>
      <c r="E21" s="28" t="n">
        <f aca="false" ca="false" dt2D="false" dtr="false" t="normal">SUM(B21-D21)</f>
        <v>0</v>
      </c>
      <c r="F21" s="29" t="n"/>
      <c r="G21" s="29" t="n">
        <f aca="false" ca="false" dt2D="false" dtr="false" t="normal">SUM(D21+F21)</f>
        <v>0</v>
      </c>
      <c r="H21" s="29" t="n">
        <f aca="false" ca="false" dt2D="false" dtr="false" t="normal">SUM(B21-G21)</f>
        <v>0</v>
      </c>
    </row>
    <row customFormat="true" ht="15.6000003814697" outlineLevel="0" r="22" s="45">
      <c r="A22" s="32" t="s">
        <v>27</v>
      </c>
      <c r="B22" s="46" t="n">
        <f aca="false" ca="false" dt2D="false" dtr="false" t="normal">SUM(SUM(B13:B20))</f>
        <v>828702.9899999999</v>
      </c>
      <c r="C22" s="33" t="n"/>
      <c r="D22" s="33" t="n">
        <f aca="false" ca="false" dt2D="false" dtr="false" t="normal">SUM(D13:D21)</f>
        <v>408597.38</v>
      </c>
      <c r="E22" s="34" t="n">
        <f aca="false" ca="false" dt2D="false" dtr="false" t="normal">SUM(B22-D22)</f>
        <v>420105.60999999987</v>
      </c>
      <c r="F22" s="47" t="n">
        <f aca="false" ca="false" dt2D="false" dtr="false" t="normal">SUM(F13:F21)</f>
        <v>161243</v>
      </c>
      <c r="G22" s="47" t="n">
        <f aca="false" ca="false" dt2D="false" dtr="false" t="normal">SUM(G13:G21)</f>
        <v>569840.38</v>
      </c>
      <c r="H22" s="48" t="n">
        <f aca="false" ca="false" dt2D="false" dtr="false" t="normal">SUM(B22-G22)</f>
        <v>258862.60999999987</v>
      </c>
    </row>
    <row customFormat="true" ht="15.6000003814697" outlineLevel="0" r="23" s="45">
      <c r="A23" s="49" t="n"/>
      <c r="B23" s="50" t="n"/>
      <c r="C23" s="51" t="n"/>
      <c r="D23" s="51" t="n"/>
      <c r="E23" s="17" t="n">
        <f aca="false" ca="false" dt2D="false" dtr="false" t="normal">SUM(B23-D23)</f>
        <v>0</v>
      </c>
      <c r="F23" s="52" t="n"/>
      <c r="G23" s="52" t="n"/>
      <c r="H23" s="52" t="n"/>
    </row>
    <row customFormat="true" ht="15.6000003814697" outlineLevel="0" r="24" s="8">
      <c r="A24" s="23" t="s">
        <v>28</v>
      </c>
      <c r="B24" s="24" t="n"/>
      <c r="C24" s="24" t="n"/>
      <c r="D24" s="24" t="n"/>
      <c r="E24" s="21" t="n">
        <f aca="false" ca="false" dt2D="false" dtr="false" t="normal">SUM(B24-D24)</f>
        <v>0</v>
      </c>
      <c r="F24" s="22" t="n"/>
      <c r="G24" s="22" t="n"/>
      <c r="H24" s="22" t="n"/>
    </row>
    <row customFormat="true" ht="15.6000003814697" outlineLevel="0" r="25" s="8">
      <c r="A25" s="23" t="s">
        <v>29</v>
      </c>
      <c r="B25" s="24" t="n"/>
      <c r="C25" s="24" t="n"/>
      <c r="D25" s="24" t="n"/>
      <c r="E25" s="21" t="n">
        <f aca="false" ca="false" dt2D="false" dtr="false" t="normal">SUM(B25-D25)</f>
        <v>0</v>
      </c>
      <c r="F25" s="22" t="n"/>
      <c r="G25" s="22" t="n"/>
      <c r="H25" s="22" t="n"/>
    </row>
    <row customFormat="true" ht="15.6000003814697" outlineLevel="0" r="26" s="8">
      <c r="A26" s="23" t="s">
        <v>30</v>
      </c>
      <c r="B26" s="24" t="n">
        <v>418800</v>
      </c>
      <c r="C26" s="24" t="n"/>
      <c r="D26" s="24" t="n">
        <v>492500</v>
      </c>
      <c r="E26" s="21" t="n">
        <f aca="false" ca="false" dt2D="false" dtr="false" t="normal">SUM(B26-D26)</f>
        <v>-73700</v>
      </c>
      <c r="F26" s="22" t="n"/>
      <c r="G26" s="22" t="n">
        <f aca="false" ca="false" dt2D="false" dtr="false" t="normal">SUM(D26+F26)</f>
        <v>492500</v>
      </c>
      <c r="H26" s="22" t="n">
        <f aca="false" ca="false" dt2D="false" dtr="false" t="normal">SUM(B26-G26)</f>
        <v>-73700</v>
      </c>
    </row>
    <row customFormat="true" ht="31.2000007629395" outlineLevel="0" r="27" s="8">
      <c r="A27" s="19" t="s">
        <v>31</v>
      </c>
      <c r="B27" s="20" t="n">
        <v>30000</v>
      </c>
      <c r="C27" s="20" t="n"/>
      <c r="D27" s="20" t="n"/>
      <c r="E27" s="21" t="n">
        <f aca="false" ca="false" dt2D="false" dtr="false" t="normal">SUM(B27-D27)</f>
        <v>30000</v>
      </c>
      <c r="F27" s="22" t="n"/>
      <c r="G27" s="22" t="n">
        <f aca="false" ca="false" dt2D="false" dtr="false" t="normal">SUM(D27+F27)</f>
        <v>0</v>
      </c>
      <c r="H27" s="22" t="n">
        <f aca="false" ca="false" dt2D="false" dtr="false" t="normal">SUM(B27-G27)</f>
        <v>30000</v>
      </c>
    </row>
    <row customFormat="true" ht="31.2000007629395" outlineLevel="0" r="28" s="8">
      <c r="A28" s="19" t="s">
        <v>32</v>
      </c>
      <c r="B28" s="20" t="n">
        <v>88516.01</v>
      </c>
      <c r="C28" s="20" t="n"/>
      <c r="D28" s="20" t="n">
        <v>63809.28</v>
      </c>
      <c r="E28" s="21" t="n">
        <f aca="false" ca="false" dt2D="false" dtr="false" t="normal">SUM(B28-D28)</f>
        <v>24706.729999999996</v>
      </c>
      <c r="F28" s="22" t="n">
        <f aca="false" ca="false" dt2D="false" dtr="false" t="normal">7089.92*3</f>
        <v>21269.760000000002</v>
      </c>
      <c r="G28" s="22" t="n">
        <f aca="false" ca="false" dt2D="false" dtr="false" t="normal">SUM(D28+F28)</f>
        <v>85079.04000000001</v>
      </c>
      <c r="H28" s="22" t="n">
        <f aca="false" ca="false" dt2D="false" dtr="false" t="normal">SUM(B28-G28)</f>
        <v>3436.9699999999866</v>
      </c>
    </row>
    <row customFormat="true" customHeight="true" ht="51" outlineLevel="0" r="29" s="53">
      <c r="A29" s="54" t="s">
        <v>33</v>
      </c>
      <c r="B29" s="55" t="n">
        <v>1126.34</v>
      </c>
      <c r="C29" s="56" t="n"/>
      <c r="D29" s="56" t="n"/>
      <c r="E29" s="21" t="n">
        <f aca="false" ca="false" dt2D="false" dtr="false" t="normal">SUM(B29-D29)</f>
        <v>1126.34</v>
      </c>
      <c r="F29" s="57" t="n"/>
      <c r="G29" s="22" t="n">
        <f aca="false" ca="false" dt2D="false" dtr="false" t="normal">SUM(D29+F29)</f>
        <v>0</v>
      </c>
      <c r="H29" s="22" t="n">
        <f aca="false" ca="false" dt2D="false" dtr="false" t="normal">SUM(B29-G29)</f>
        <v>1126.34</v>
      </c>
    </row>
    <row customFormat="true" ht="15.6000003814697" outlineLevel="0" r="30" s="8">
      <c r="A30" s="19" t="s">
        <v>34</v>
      </c>
      <c r="B30" s="20" t="n">
        <v>109368</v>
      </c>
      <c r="C30" s="24" t="n"/>
      <c r="D30" s="24" t="n">
        <f aca="false" ca="false" dt2D="false" dtr="false" t="normal">63000+2114*9</f>
        <v>82026</v>
      </c>
      <c r="E30" s="21" t="n">
        <f aca="false" ca="false" dt2D="false" dtr="false" t="normal">SUM(B30-D30)</f>
        <v>27342</v>
      </c>
      <c r="F30" s="22" t="n">
        <f aca="false" ca="false" dt2D="false" dtr="false" t="normal">7000*3+2114*3</f>
        <v>27342</v>
      </c>
      <c r="G30" s="22" t="n">
        <f aca="false" ca="false" dt2D="false" dtr="false" t="normal">SUM(D30+F30)</f>
        <v>109368</v>
      </c>
      <c r="H30" s="22" t="n">
        <f aca="false" ca="false" dt2D="false" dtr="false" t="normal">SUM(B30-G30)</f>
        <v>0</v>
      </c>
    </row>
    <row customFormat="true" ht="15.6000003814697" outlineLevel="0" r="31" s="8">
      <c r="A31" s="44" t="n"/>
      <c r="B31" s="27" t="n"/>
      <c r="C31" s="27" t="n"/>
      <c r="D31" s="27" t="n"/>
      <c r="E31" s="28" t="n"/>
      <c r="F31" s="29" t="n"/>
      <c r="G31" s="29" t="n"/>
      <c r="H31" s="29" t="n"/>
    </row>
    <row customFormat="true" ht="15.6000003814697" outlineLevel="0" r="32" s="45">
      <c r="A32" s="32" t="s">
        <v>35</v>
      </c>
      <c r="B32" s="46" t="n">
        <f aca="false" ca="false" dt2D="false" dtr="false" t="normal">SUM(B26:B30)</f>
        <v>647810.35</v>
      </c>
      <c r="C32" s="46" t="n">
        <f aca="false" ca="false" dt2D="false" dtr="false" t="normal">SUM(C26:C30)</f>
        <v>0</v>
      </c>
      <c r="D32" s="46" t="n">
        <f aca="false" ca="false" dt2D="false" dtr="false" t="normal">SUM(D26:D30)</f>
        <v>638335.28</v>
      </c>
      <c r="E32" s="46" t="n">
        <f aca="false" ca="false" dt2D="false" dtr="false" t="normal">SUM(E26:E30)</f>
        <v>9475.069999999996</v>
      </c>
      <c r="F32" s="46" t="n">
        <f aca="false" ca="false" dt2D="false" dtr="false" t="normal">SUM(F26:F30)</f>
        <v>48611.76</v>
      </c>
      <c r="G32" s="46" t="n">
        <f aca="false" ca="false" dt2D="false" dtr="false" t="normal">SUM(G26:G30)</f>
        <v>686947.04</v>
      </c>
      <c r="H32" s="58" t="n">
        <f aca="false" ca="false" dt2D="false" dtr="false" t="normal">SUM(H26:H30)</f>
        <v>-39136.69000000002</v>
      </c>
    </row>
    <row customFormat="true" ht="15.6000003814697" outlineLevel="0" r="33" s="45">
      <c r="A33" s="32" t="s">
        <v>36</v>
      </c>
      <c r="B33" s="46" t="n">
        <f aca="false" ca="false" dt2D="false" dtr="false" t="normal">SUM(B22+B32)</f>
        <v>1476513.3399999999</v>
      </c>
      <c r="C33" s="46" t="n">
        <f aca="false" ca="false" dt2D="false" dtr="false" t="normal">SUM(C22+C32)</f>
        <v>0</v>
      </c>
      <c r="D33" s="46" t="n">
        <f aca="false" ca="false" dt2D="false" dtr="false" t="normal">SUM(D22+D32)</f>
        <v>1046932.66</v>
      </c>
      <c r="E33" s="46" t="n">
        <f aca="false" ca="false" dt2D="false" dtr="false" t="normal">SUM(E22+E32)</f>
        <v>429580.6799999999</v>
      </c>
      <c r="F33" s="46" t="n">
        <f aca="false" ca="false" dt2D="false" dtr="false" t="normal">SUM(F22+F32)</f>
        <v>209854.76</v>
      </c>
      <c r="G33" s="46" t="n">
        <f aca="false" ca="false" dt2D="false" dtr="false" t="normal">SUM(G22+G32)</f>
        <v>1256787.42</v>
      </c>
      <c r="H33" s="58" t="n"/>
    </row>
    <row customFormat="true" ht="15.6000003814697" outlineLevel="0" r="34" s="45">
      <c r="A34" s="59" t="s">
        <v>37</v>
      </c>
      <c r="B34" s="46" t="n">
        <f aca="false" ca="false" dt2D="false" dtr="false" t="normal">SUM(B10-B33)</f>
        <v>-77436.59999999986</v>
      </c>
      <c r="C34" s="46" t="n">
        <f aca="false" ca="false" dt2D="false" dtr="false" t="normal">SUM(C10-C33)</f>
        <v>0</v>
      </c>
      <c r="D34" s="46" t="n">
        <f aca="false" ca="false" dt2D="false" dtr="false" t="normal">SUM(D10-D33)</f>
        <v>259398.29999999993</v>
      </c>
      <c r="E34" s="46" t="n"/>
      <c r="F34" s="46" t="n"/>
      <c r="G34" s="46" t="n">
        <f aca="false" ca="false" dt2D="false" dtr="false" t="normal">SUM(D10-G33)</f>
        <v>49543.54000000004</v>
      </c>
      <c r="H34" s="58" t="n">
        <f aca="false" ca="false" dt2D="false" dtr="false" t="normal">SUM(H10-H33)</f>
        <v>0</v>
      </c>
    </row>
    <row customFormat="true" ht="15.6000003814697" outlineLevel="0" r="35" s="8">
      <c r="A35" s="41" t="s">
        <v>38</v>
      </c>
      <c r="B35" s="42" t="n"/>
      <c r="C35" s="42" t="n"/>
      <c r="D35" s="42" t="n">
        <f aca="false" ca="false" dt2D="false" dtr="false" t="normal">83427.31+75414-1798.82-7500+3465</f>
        <v>153007.49</v>
      </c>
      <c r="E35" s="17" t="n"/>
      <c r="F35" s="18" t="n"/>
      <c r="G35" s="18" t="n"/>
      <c r="H35" s="18" t="n"/>
    </row>
    <row customFormat="true" ht="15.6000003814697" outlineLevel="0" r="36" s="8">
      <c r="A36" s="44" t="s">
        <v>39</v>
      </c>
      <c r="B36" s="26" t="n"/>
      <c r="C36" s="27" t="n"/>
      <c r="D36" s="27" t="n">
        <v>148842.5</v>
      </c>
      <c r="E36" s="28" t="n"/>
      <c r="F36" s="29" t="n"/>
      <c r="G36" s="29" t="n"/>
      <c r="H36" s="29" t="n"/>
    </row>
    <row customFormat="true" ht="15.6000003814697" outlineLevel="0" r="37" s="8">
      <c r="A37" s="9" t="s">
        <v>40</v>
      </c>
      <c r="B37" s="60" t="n"/>
      <c r="C37" s="37" t="n"/>
      <c r="D37" s="37" t="n">
        <v>412405.79</v>
      </c>
      <c r="E37" s="38" t="n"/>
      <c r="F37" s="39" t="n"/>
      <c r="G37" s="39" t="n"/>
      <c r="H37" s="14" t="n"/>
    </row>
    <row customFormat="true" ht="15.6000003814697" outlineLevel="0" r="38" s="8">
      <c r="A38" s="41" t="n"/>
      <c r="B38" s="16" t="n"/>
      <c r="C38" s="42" t="n"/>
      <c r="D38" s="42" t="n">
        <f aca="false" ca="false" dt2D="false" dtr="false" t="normal">SUM(D37-D34-D35)</f>
        <v>0.00000000005820766091346741</v>
      </c>
      <c r="E38" s="61" t="n"/>
      <c r="F38" s="18" t="n"/>
      <c r="G38" s="18" t="n"/>
      <c r="H38" s="18" t="n"/>
    </row>
    <row customFormat="true" ht="15.6000003814697" outlineLevel="0" r="39" s="8">
      <c r="A39" s="23" t="s">
        <v>41</v>
      </c>
      <c r="B39" s="20" t="n"/>
      <c r="C39" s="24" t="n"/>
      <c r="D39" s="24" t="n">
        <v>199804.09</v>
      </c>
      <c r="E39" s="62" t="n"/>
      <c r="F39" s="22" t="n"/>
      <c r="G39" s="22" t="n"/>
      <c r="H39" s="22" t="n"/>
    </row>
    <row customFormat="true" ht="15.6000003814697" outlineLevel="0" r="40" s="8">
      <c r="A40" s="23" t="s">
        <v>42</v>
      </c>
      <c r="B40" s="20" t="n"/>
      <c r="C40" s="24" t="n"/>
      <c r="D40" s="24" t="n">
        <v>119680</v>
      </c>
      <c r="E40" s="62" t="n"/>
      <c r="F40" s="22" t="n"/>
      <c r="G40" s="22" t="n"/>
      <c r="H40" s="22" t="n"/>
    </row>
    <row customFormat="true" ht="15.6000003814697" outlineLevel="0" r="41" s="8">
      <c r="A41" s="23" t="s">
        <v>43</v>
      </c>
      <c r="B41" s="20" t="n"/>
      <c r="C41" s="24" t="n"/>
      <c r="D41" s="24" t="n">
        <v>16320</v>
      </c>
      <c r="E41" s="62" t="n"/>
      <c r="F41" s="22" t="n"/>
      <c r="G41" s="22" t="n"/>
      <c r="H41" s="22" t="n"/>
    </row>
    <row customFormat="true" ht="15.6000003814697" outlineLevel="0" r="42" s="8">
      <c r="A42" s="44" t="s">
        <v>44</v>
      </c>
      <c r="B42" s="26" t="n"/>
      <c r="C42" s="27" t="n"/>
      <c r="D42" s="27" t="n">
        <v>33276</v>
      </c>
      <c r="E42" s="63" t="n"/>
      <c r="F42" s="29" t="n"/>
      <c r="G42" s="29" t="n"/>
      <c r="H42" s="29" t="n"/>
    </row>
    <row customFormat="true" ht="15.6000003814697" outlineLevel="0" r="43" s="8">
      <c r="A43" s="9" t="s">
        <v>45</v>
      </c>
      <c r="B43" s="60" t="n"/>
      <c r="C43" s="37" t="n"/>
      <c r="D43" s="37" t="n">
        <f aca="false" ca="false" dt2D="false" dtr="false" t="normal">SUM(D40-D42)</f>
        <v>86404</v>
      </c>
      <c r="E43" s="64" t="n"/>
      <c r="F43" s="39" t="n"/>
      <c r="G43" s="39" t="n"/>
      <c r="H43" s="14" t="n"/>
    </row>
    <row customFormat="true" ht="15.6000003814697" outlineLevel="0" r="44" s="8">
      <c r="A44" s="41" t="s">
        <v>46</v>
      </c>
      <c r="B44" s="16" t="n"/>
      <c r="C44" s="42" t="n"/>
      <c r="D44" s="42" t="n">
        <f aca="false" ca="false" dt2D="false" dtr="false" t="normal">199804.09-80154.47-30623.72</f>
        <v>89025.9</v>
      </c>
      <c r="E44" s="61" t="n"/>
      <c r="F44" s="18" t="n"/>
      <c r="G44" s="18" t="n"/>
      <c r="H44" s="18" t="n"/>
    </row>
    <row customFormat="true" ht="15.6000003814697" outlineLevel="0" r="45" s="8">
      <c r="A45" s="23" t="s">
        <v>47</v>
      </c>
      <c r="B45" s="20" t="n"/>
      <c r="C45" s="24" t="n"/>
      <c r="D45" s="24" t="n">
        <v>75761.28</v>
      </c>
      <c r="E45" s="62" t="n"/>
      <c r="F45" s="22" t="n"/>
      <c r="G45" s="22" t="n"/>
      <c r="H45" s="22" t="n"/>
    </row>
    <row customFormat="true" ht="15.6000003814697" outlineLevel="0" r="46" s="8">
      <c r="A46" s="23" t="s">
        <v>48</v>
      </c>
      <c r="B46" s="20" t="n"/>
      <c r="C46" s="24" t="n"/>
      <c r="D46" s="24" t="n">
        <v>22050</v>
      </c>
      <c r="E46" s="62" t="n"/>
      <c r="F46" s="22" t="n"/>
      <c r="G46" s="22" t="n"/>
      <c r="H46" s="22" t="n"/>
    </row>
    <row customFormat="true" ht="15.6000003814697" outlineLevel="0" r="47" s="8">
      <c r="A47" s="44" t="s">
        <v>49</v>
      </c>
      <c r="B47" s="26" t="n"/>
      <c r="C47" s="27" t="n"/>
      <c r="D47" s="27" t="n">
        <f aca="false" ca="false" dt2D="false" dtr="false" t="normal">20593.24+59700.24</f>
        <v>80293.48</v>
      </c>
      <c r="E47" s="63" t="n"/>
      <c r="F47" s="29" t="n"/>
      <c r="G47" s="29" t="n"/>
      <c r="H47" s="29" t="n"/>
    </row>
    <row customFormat="true" ht="15.6000003814697" outlineLevel="0" r="48" s="8">
      <c r="A48" s="9" t="s">
        <v>45</v>
      </c>
      <c r="B48" s="60" t="n"/>
      <c r="C48" s="37" t="n"/>
      <c r="D48" s="37" t="n">
        <f aca="false" ca="false" dt2D="false" dtr="false" t="normal">SUM(D44+D45-D47)</f>
        <v>84493.7</v>
      </c>
      <c r="E48" s="64" t="n"/>
      <c r="F48" s="39" t="n"/>
      <c r="G48" s="39" t="n"/>
      <c r="H48" s="14" t="n"/>
    </row>
    <row customFormat="true" ht="15.6000003814697" outlineLevel="0" r="49" s="8">
      <c r="A49" s="41" t="s">
        <v>50</v>
      </c>
      <c r="B49" s="16" t="n"/>
      <c r="C49" s="42" t="n"/>
      <c r="D49" s="42" t="n">
        <v>290000</v>
      </c>
      <c r="E49" s="61" t="n"/>
      <c r="F49" s="18" t="n"/>
      <c r="G49" s="18" t="n"/>
      <c r="H49" s="18" t="n"/>
    </row>
    <row customFormat="true" ht="15.6000003814697" outlineLevel="0" r="50" s="8">
      <c r="A50" s="23" t="s">
        <v>51</v>
      </c>
      <c r="B50" s="20" t="n"/>
      <c r="C50" s="24" t="n"/>
      <c r="D50" s="24" t="n">
        <f aca="false" ca="false" dt2D="false" dtr="false" t="normal">268028.66-13261.45+79167.43</f>
        <v>333934.63999999996</v>
      </c>
      <c r="E50" s="62" t="n"/>
      <c r="F50" s="22" t="n"/>
      <c r="G50" s="22" t="n"/>
      <c r="H50" s="22" t="n"/>
    </row>
    <row customFormat="true" ht="15.6000003814697" outlineLevel="0" r="51" s="8">
      <c r="A51" s="23" t="s">
        <v>52</v>
      </c>
      <c r="B51" s="20" t="n"/>
      <c r="C51" s="24" t="n"/>
      <c r="D51" s="24" t="n">
        <v>36219.83</v>
      </c>
      <c r="E51" s="62" t="n"/>
      <c r="F51" s="22" t="n"/>
      <c r="G51" s="22" t="n"/>
      <c r="H51" s="22" t="n"/>
    </row>
    <row customFormat="true" ht="15.6000003814697" outlineLevel="0" r="52" s="8">
      <c r="A52" s="23" t="s">
        <v>53</v>
      </c>
      <c r="B52" s="20" t="n"/>
      <c r="C52" s="24" t="n"/>
      <c r="D52" s="24" t="n">
        <v>80154.47</v>
      </c>
      <c r="E52" s="62" t="n"/>
      <c r="F52" s="22" t="n"/>
      <c r="G52" s="22" t="n"/>
      <c r="H52" s="22" t="n"/>
    </row>
    <row customFormat="true" ht="15.6000003814697" outlineLevel="0" r="53" s="8">
      <c r="A53" s="23" t="n"/>
      <c r="B53" s="20" t="n"/>
      <c r="C53" s="24" t="n"/>
      <c r="D53" s="24" t="n">
        <f aca="false" ca="false" dt2D="false" dtr="false" t="normal">SUM(D52+D49-D50-D51)</f>
        <v>0.000000000014551915228366852</v>
      </c>
      <c r="E53" s="62" t="n"/>
      <c r="F53" s="22" t="n"/>
      <c r="G53" s="22" t="n"/>
      <c r="H53" s="22" t="n"/>
    </row>
    <row customFormat="true" customHeight="true" hidden="false" ht="15.1101684570312" outlineLevel="0" r="54" s="8">
      <c r="A54" s="23" t="s">
        <v>54</v>
      </c>
      <c r="B54" s="20" t="n"/>
      <c r="C54" s="24" t="n"/>
      <c r="D54" s="24" t="n">
        <v>9170.88</v>
      </c>
      <c r="E54" s="62" t="n"/>
      <c r="F54" s="22" t="n"/>
      <c r="G54" s="22" t="n"/>
      <c r="H54" s="22" t="n"/>
    </row>
    <row customFormat="true" customHeight="true" hidden="false" ht="15.1101684570312" outlineLevel="0" r="55" s="8">
      <c r="A55" s="23" t="s">
        <v>55</v>
      </c>
      <c r="B55" s="20" t="n"/>
      <c r="C55" s="24" t="n"/>
      <c r="D55" s="24" t="n">
        <f aca="false" ca="false" dt2D="false" dtr="false" t="normal">-(9270+242.95+180+900)</f>
        <v>-10592.95</v>
      </c>
      <c r="E55" s="62" t="n"/>
      <c r="F55" s="22" t="n"/>
      <c r="G55" s="22" t="n"/>
      <c r="H55" s="22" t="n"/>
    </row>
    <row customFormat="true" ht="15.6000003814697" outlineLevel="0" r="56" s="8">
      <c r="A56" s="9" t="s">
        <v>56</v>
      </c>
      <c r="B56" s="60" t="n"/>
      <c r="C56" s="37" t="n"/>
      <c r="D56" s="37" t="n">
        <f aca="false" ca="false" dt2D="false" dtr="false" t="normal">SUM(D39+D40-D42+D45-D47+D49-D50+D54+D55)</f>
        <v>236319.18000000005</v>
      </c>
      <c r="E56" s="64" t="n"/>
      <c r="F56" s="39" t="n"/>
      <c r="G56" s="39" t="n"/>
      <c r="H56" s="14" t="n"/>
    </row>
    <row customFormat="true" ht="15.6000003814697" outlineLevel="0" r="57" s="8">
      <c r="A57" s="41" t="n"/>
      <c r="B57" s="16" t="n"/>
      <c r="C57" s="42" t="n"/>
      <c r="D57" s="42" t="n"/>
      <c r="E57" s="61" t="n"/>
      <c r="F57" s="18" t="n"/>
      <c r="G57" s="18" t="n"/>
      <c r="H57" s="18" t="n"/>
    </row>
    <row customFormat="true" ht="15.6000003814697" outlineLevel="0" r="58" s="8">
      <c r="A58" s="23" t="s">
        <v>57</v>
      </c>
      <c r="B58" s="20" t="n"/>
      <c r="C58" s="24" t="n"/>
      <c r="D58" s="24" t="n"/>
      <c r="E58" s="62" t="n"/>
      <c r="F58" s="22" t="n"/>
      <c r="G58" s="22" t="n"/>
      <c r="H58" s="22" t="n"/>
    </row>
  </sheetData>
  <mergeCells count="1">
    <mergeCell ref="A1:D1"/>
  </mergeCells>
  <pageMargins bottom="0.748031497001648" footer="0.31496062874794" header="0.31496062874794" left="0.708661377429962" right="0.708661377429962" top="0.748031497001648"/>
  <pageSetup fitToHeight="0" fitToWidth="0" orientation="landscape" paperHeight="297mm" paperSize="9" paperWidth="210mm" scale="100"/>
  <legacyDrawing r:id="rId2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L14"/>
  <sheetViews>
    <sheetView showZeros="true" workbookViewId="0"/>
  </sheetViews>
  <sheetFormatPr baseColWidth="8" customHeight="false" defaultColWidth="9.1093749022008" defaultRowHeight="15.6000003814697" zeroHeight="false"/>
  <cols>
    <col customWidth="true" max="1" min="1" outlineLevel="0" width="22.1093743947023"/>
    <col customWidth="true" max="2" min="2" outlineLevel="0" width="10.5546874511004"/>
    <col customWidth="true" max="3" min="3" outlineLevel="0" width="15.3320317687322"/>
    <col customWidth="true" max="4" min="4" outlineLevel="0" width="14.2187504810663"/>
    <col customWidth="true" max="5" min="5" outlineLevel="0" width="12.8867183740017"/>
    <col customWidth="true" max="6" min="6" outlineLevel="0" width="10.5546874511004"/>
    <col customWidth="true" max="7" min="7" outlineLevel="0" width="11.8867188815003"/>
    <col customWidth="true" max="8" min="8" outlineLevel="0" width="10.8867187123341"/>
    <col customWidth="true" max="9" min="9" outlineLevel="0" width="11.5546876202666"/>
    <col customWidth="true" max="10" min="10" outlineLevel="0" width="11.4414058251021"/>
    <col customWidth="true" max="11" min="11" outlineLevel="0" style="65" width="10.5546874511004"/>
    <col customWidth="true" max="12" min="12" outlineLevel="0" style="65" width="10.9999998308338"/>
  </cols>
  <sheetData>
    <row outlineLevel="0" r="1">
      <c r="A1" s="66" t="s">
        <v>58</v>
      </c>
      <c r="B1" s="67" t="n"/>
      <c r="C1" s="66" t="n"/>
      <c r="D1" s="67" t="n"/>
      <c r="E1" s="66" t="n"/>
      <c r="F1" s="66" t="n"/>
      <c r="G1" s="67" t="n"/>
      <c r="H1" s="66" t="n"/>
      <c r="I1" s="67" t="n"/>
      <c r="J1" s="66" t="n"/>
    </row>
    <row outlineLevel="0" r="2">
      <c r="A2" s="66" t="n"/>
      <c r="B2" s="67" t="n"/>
      <c r="C2" s="66" t="n"/>
      <c r="D2" s="67" t="n"/>
      <c r="E2" s="66" t="n"/>
      <c r="F2" s="66" t="n"/>
      <c r="G2" s="67" t="n"/>
      <c r="H2" s="66" t="n"/>
      <c r="I2" s="67" t="n"/>
      <c r="J2" s="66" t="n"/>
    </row>
    <row customHeight="true" ht="111.75" outlineLevel="0" r="3">
      <c r="A3" s="68" t="s">
        <v>59</v>
      </c>
      <c r="B3" s="69" t="s">
        <v>60</v>
      </c>
      <c r="C3" s="70" t="s">
        <v>61</v>
      </c>
      <c r="D3" s="70" t="s">
        <v>62</v>
      </c>
      <c r="E3" s="70" t="s">
        <v>63</v>
      </c>
      <c r="F3" s="71" t="s">
        <v>64</v>
      </c>
      <c r="G3" s="72" t="n"/>
      <c r="H3" s="72" t="n"/>
      <c r="K3" s="0" t="n"/>
      <c r="L3" s="0" t="n"/>
    </row>
    <row outlineLevel="0" r="4">
      <c r="A4" s="73" t="s">
        <v>65</v>
      </c>
      <c r="B4" s="69" t="n">
        <f aca="false" ca="false" dt2D="false" dtr="false" t="normal">SUM(B5:B7)</f>
        <v>25000</v>
      </c>
      <c r="C4" s="74" t="n">
        <v>9000</v>
      </c>
      <c r="D4" s="74" t="n">
        <f aca="false" ca="false" dt2D="false" dtr="false" t="normal">SUM(D5:D7)</f>
        <v>280000</v>
      </c>
      <c r="E4" s="74" t="n">
        <f aca="false" ca="false" dt2D="false" dtr="false" t="normal">SUM(E5:E6)</f>
        <v>108000</v>
      </c>
      <c r="F4" s="71" t="n"/>
      <c r="G4" s="72" t="n"/>
      <c r="H4" s="72" t="n"/>
      <c r="K4" s="0" t="n"/>
      <c r="L4" s="0" t="n"/>
    </row>
    <row outlineLevel="0" r="5">
      <c r="A5" s="73" t="s">
        <v>66</v>
      </c>
      <c r="B5" s="69" t="n">
        <v>10500</v>
      </c>
      <c r="C5" s="74" t="n">
        <v>4500</v>
      </c>
      <c r="D5" s="74" t="n">
        <f aca="false" ca="false" dt2D="false" dtr="false" t="normal">SUM(B5*12)</f>
        <v>126000</v>
      </c>
      <c r="E5" s="74" t="n">
        <f aca="false" ca="false" dt2D="false" dtr="false" t="normal">SUM(C5*12)</f>
        <v>54000</v>
      </c>
      <c r="F5" s="71" t="n">
        <f aca="false" ca="false" dt2D="false" dtr="false" t="normal">SUM(B5:C5)</f>
        <v>15000</v>
      </c>
      <c r="G5" s="72" t="n"/>
      <c r="H5" s="72" t="n"/>
      <c r="K5" s="0" t="n"/>
      <c r="L5" s="0" t="n"/>
    </row>
    <row outlineLevel="0" r="6">
      <c r="A6" s="73" t="s">
        <v>67</v>
      </c>
      <c r="B6" s="69" t="n">
        <v>10500</v>
      </c>
      <c r="C6" s="74" t="n">
        <v>4500</v>
      </c>
      <c r="D6" s="74" t="n">
        <f aca="false" ca="false" dt2D="false" dtr="false" t="normal">SUM(B6*12)</f>
        <v>126000</v>
      </c>
      <c r="E6" s="74" t="n">
        <f aca="false" ca="false" dt2D="false" dtr="false" t="normal">SUM(C6*12)</f>
        <v>54000</v>
      </c>
      <c r="F6" s="71" t="n">
        <f aca="false" ca="false" dt2D="false" dtr="false" t="normal">SUM(B6:C6)</f>
        <v>15000</v>
      </c>
      <c r="K6" s="0" t="n"/>
      <c r="L6" s="0" t="n"/>
    </row>
    <row outlineLevel="0" r="7">
      <c r="A7" s="68" t="s">
        <v>68</v>
      </c>
      <c r="B7" s="69" t="n">
        <v>4000</v>
      </c>
      <c r="C7" s="69" t="n"/>
      <c r="D7" s="74" t="n">
        <f aca="false" ca="false" dt2D="false" dtr="false" t="normal">SUM(B7*7)</f>
        <v>28000</v>
      </c>
      <c r="E7" s="69" t="n"/>
      <c r="F7" s="71" t="n">
        <f aca="false" ca="false" dt2D="false" dtr="false" t="normal">SUM(B7:C7)</f>
        <v>4000</v>
      </c>
      <c r="K7" s="0" t="n"/>
      <c r="L7" s="0" t="n"/>
    </row>
    <row outlineLevel="0" r="8">
      <c r="A8" s="73" t="s">
        <v>69</v>
      </c>
      <c r="B8" s="69" t="n">
        <f aca="false" ca="false" dt2D="false" dtr="false" t="normal">SUM((B4-10500)*30.2%)</f>
        <v>4379</v>
      </c>
      <c r="C8" s="74" t="n"/>
      <c r="D8" s="74" t="n">
        <f aca="false" ca="false" dt2D="false" dtr="false" t="normal">SUM(B8*7)</f>
        <v>30653</v>
      </c>
      <c r="E8" s="74" t="n"/>
      <c r="F8" s="71" t="n"/>
      <c r="K8" s="0" t="n"/>
      <c r="L8" s="0" t="n"/>
    </row>
    <row outlineLevel="0" r="9">
      <c r="A9" s="73" t="s">
        <v>70</v>
      </c>
      <c r="B9" s="69" t="n">
        <f aca="false" ca="false" dt2D="false" dtr="false" t="normal">SUM(B4+B8)</f>
        <v>29379</v>
      </c>
      <c r="C9" s="69" t="n">
        <v>9000</v>
      </c>
      <c r="D9" s="69" t="n">
        <f aca="false" ca="false" dt2D="false" dtr="false" t="normal">SUM(D4+D8)</f>
        <v>310653</v>
      </c>
      <c r="E9" s="69" t="n">
        <f aca="false" ca="false" dt2D="false" dtr="false" t="normal">SUM(E4+E8)</f>
        <v>108000</v>
      </c>
      <c r="F9" s="71" t="n"/>
      <c r="K9" s="0" t="n"/>
      <c r="L9" s="0" t="n"/>
    </row>
    <row ht="62.4000015258789" outlineLevel="0" r="10">
      <c r="A10" s="68" t="s">
        <v>71</v>
      </c>
      <c r="B10" s="69" t="n">
        <v>7000</v>
      </c>
      <c r="C10" s="74" t="n"/>
      <c r="D10" s="74" t="n">
        <f aca="false" ca="false" dt2D="false" dtr="false" t="normal">SUM(B10*12)</f>
        <v>84000</v>
      </c>
      <c r="E10" s="74" t="n"/>
      <c r="F10" s="71" t="n"/>
      <c r="K10" s="0" t="n"/>
      <c r="L10" s="0" t="n"/>
    </row>
    <row outlineLevel="0" r="11">
      <c r="A11" s="73" t="s">
        <v>69</v>
      </c>
      <c r="B11" s="69" t="n">
        <f aca="false" ca="false" dt2D="false" dtr="false" t="normal">SUM(B10*30.2%)</f>
        <v>2114</v>
      </c>
      <c r="C11" s="74" t="n"/>
      <c r="D11" s="69" t="n">
        <f aca="false" ca="false" dt2D="false" dtr="false" t="normal">SUM(D10*30.2%)</f>
        <v>25368</v>
      </c>
      <c r="E11" s="74" t="n"/>
      <c r="F11" s="71" t="n"/>
      <c r="K11" s="0" t="n"/>
      <c r="L11" s="0" t="n"/>
    </row>
    <row outlineLevel="0" r="12">
      <c r="B12" s="75" t="n"/>
      <c r="D12" s="75" t="n"/>
      <c r="G12" s="75" t="n"/>
      <c r="I12" s="75" t="n"/>
    </row>
    <row customHeight="true" ht="49.2000007629395" outlineLevel="0" r="13">
      <c r="A13" s="66" t="s">
        <v>57</v>
      </c>
      <c r="B13" s="66" t="s"/>
      <c r="C13" s="66" t="s"/>
      <c r="D13" s="66" t="s"/>
      <c r="E13" s="66" t="s"/>
      <c r="G13" s="75" t="n"/>
      <c r="I13" s="75" t="n"/>
    </row>
    <row outlineLevel="0" r="14">
      <c r="B14" s="75" t="n"/>
      <c r="D14" s="75" t="n"/>
      <c r="G14" s="75" t="n"/>
      <c r="I14" s="75" t="n"/>
    </row>
  </sheetData>
  <mergeCells count="1">
    <mergeCell ref="A13:E13"/>
  </mergeCells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H26"/>
  <sheetViews>
    <sheetView showZeros="true" workbookViewId="0"/>
  </sheetViews>
  <sheetFormatPr baseColWidth="8" customHeight="false" defaultColWidth="9.1093749022008" defaultRowHeight="14.3999996185303" zeroHeight="false"/>
  <cols>
    <col customWidth="true" max="1" min="1" outlineLevel="0" width="20.1093754096993"/>
    <col customWidth="true" max="4" min="4" outlineLevel="0" width="10.5546874511004"/>
    <col customWidth="true" max="5" min="5" outlineLevel="0" width="14.1093743947023"/>
  </cols>
  <sheetData>
    <row outlineLevel="0" r="1">
      <c r="A1" s="0" t="s">
        <v>72</v>
      </c>
      <c r="E1" s="0" t="s">
        <v>73</v>
      </c>
    </row>
    <row customHeight="true" ht="70.8000030517578" outlineLevel="0" r="2">
      <c r="A2" s="76" t="n"/>
      <c r="B2" s="77" t="s">
        <v>74</v>
      </c>
      <c r="C2" s="77" t="s">
        <v>75</v>
      </c>
      <c r="D2" s="77" t="s">
        <v>76</v>
      </c>
      <c r="E2" s="77" t="s">
        <v>77</v>
      </c>
    </row>
    <row outlineLevel="0" r="3">
      <c r="A3" s="76" t="s">
        <v>78</v>
      </c>
      <c r="B3" s="76" t="n">
        <v>3</v>
      </c>
      <c r="C3" s="76" t="n">
        <v>25000</v>
      </c>
      <c r="D3" s="76" t="n">
        <v>9900</v>
      </c>
      <c r="E3" s="76" t="n">
        <f aca="false" ca="false" dt2D="false" dtr="false" t="normal">SUM(B3*(C3+D3))</f>
        <v>104700</v>
      </c>
    </row>
    <row outlineLevel="0" r="4">
      <c r="A4" s="76" t="s">
        <v>79</v>
      </c>
      <c r="B4" s="76" t="n">
        <v>0.5</v>
      </c>
      <c r="C4" s="76" t="n">
        <v>25000</v>
      </c>
      <c r="D4" s="76" t="n">
        <v>9900</v>
      </c>
      <c r="E4" s="76" t="n">
        <f aca="false" ca="false" dt2D="false" dtr="false" t="normal">SUM(B4*(C4+D4))</f>
        <v>17450</v>
      </c>
    </row>
    <row outlineLevel="0" r="5">
      <c r="A5" s="76" t="s">
        <v>80</v>
      </c>
      <c r="B5" s="76" t="n">
        <v>0.5</v>
      </c>
      <c r="C5" s="76" t="n">
        <v>25000</v>
      </c>
      <c r="D5" s="76" t="n">
        <v>9900</v>
      </c>
      <c r="E5" s="76" t="n">
        <f aca="false" ca="false" dt2D="false" dtr="false" t="normal">SUM(B5*(C5+D5))</f>
        <v>17450</v>
      </c>
    </row>
    <row outlineLevel="0" r="6">
      <c r="A6" s="76" t="s">
        <v>81</v>
      </c>
      <c r="B6" s="76" t="n">
        <v>3</v>
      </c>
      <c r="C6" s="76" t="n">
        <v>25000</v>
      </c>
      <c r="D6" s="76" t="n">
        <v>9900</v>
      </c>
      <c r="E6" s="76" t="n">
        <f aca="false" ca="false" dt2D="false" dtr="false" t="normal">SUM(B6*(C6+D6))</f>
        <v>104700</v>
      </c>
    </row>
    <row outlineLevel="0" r="7">
      <c r="A7" s="76" t="s">
        <v>82</v>
      </c>
      <c r="B7" s="76" t="n">
        <v>0.5</v>
      </c>
      <c r="C7" s="76" t="n">
        <v>25000</v>
      </c>
      <c r="D7" s="76" t="n">
        <v>9900</v>
      </c>
      <c r="E7" s="76" t="n">
        <f aca="false" ca="false" dt2D="false" dtr="false" t="normal">SUM(B7*(C7+D7))</f>
        <v>17450</v>
      </c>
    </row>
    <row outlineLevel="0" r="8">
      <c r="A8" s="76" t="s">
        <v>83</v>
      </c>
      <c r="B8" s="76" t="n">
        <v>0.5</v>
      </c>
      <c r="C8" s="76" t="n">
        <v>25000</v>
      </c>
      <c r="D8" s="76" t="n">
        <v>9900</v>
      </c>
      <c r="E8" s="76" t="n">
        <f aca="false" ca="false" dt2D="false" dtr="false" t="normal">SUM(B8*(C8+D8))</f>
        <v>17450</v>
      </c>
    </row>
    <row outlineLevel="0" r="9">
      <c r="A9" s="76" t="s">
        <v>84</v>
      </c>
      <c r="B9" s="76" t="n">
        <v>0.5</v>
      </c>
      <c r="C9" s="76" t="n">
        <v>25000</v>
      </c>
      <c r="D9" s="76" t="n">
        <v>9900</v>
      </c>
      <c r="E9" s="76" t="n">
        <f aca="false" ca="false" dt2D="false" dtr="false" t="normal">SUM(B9*(C9+D9))</f>
        <v>17450</v>
      </c>
    </row>
    <row outlineLevel="0" r="10">
      <c r="A10" s="76" t="s">
        <v>85</v>
      </c>
      <c r="B10" s="76" t="n">
        <v>0.5</v>
      </c>
      <c r="C10" s="76" t="n">
        <v>25000</v>
      </c>
      <c r="D10" s="76" t="n">
        <v>9900</v>
      </c>
      <c r="E10" s="76" t="n">
        <f aca="false" ca="false" dt2D="false" dtr="false" t="normal">SUM(B10*(C10+D10))</f>
        <v>17450</v>
      </c>
    </row>
    <row outlineLevel="0" r="11">
      <c r="A11" s="76" t="s">
        <v>86</v>
      </c>
      <c r="B11" s="76" t="n">
        <v>1</v>
      </c>
      <c r="C11" s="76" t="n">
        <v>25000</v>
      </c>
      <c r="D11" s="76" t="n">
        <v>9900</v>
      </c>
      <c r="E11" s="76" t="n">
        <f aca="false" ca="false" dt2D="false" dtr="false" t="normal">SUM(B11*(C11+D11))</f>
        <v>34900</v>
      </c>
    </row>
    <row outlineLevel="0" r="12">
      <c r="A12" s="76" t="s">
        <v>87</v>
      </c>
      <c r="B12" s="76" t="n">
        <v>1</v>
      </c>
      <c r="C12" s="76" t="n">
        <v>25000</v>
      </c>
      <c r="D12" s="76" t="n">
        <v>9900</v>
      </c>
      <c r="E12" s="76" t="n">
        <f aca="false" ca="false" dt2D="false" dtr="false" t="normal">SUM(B12*(C12+D12))</f>
        <v>34900</v>
      </c>
    </row>
    <row outlineLevel="0" r="13">
      <c r="A13" s="76" t="s">
        <v>88</v>
      </c>
      <c r="B13" s="76" t="n">
        <v>0.5</v>
      </c>
      <c r="C13" s="76" t="n">
        <v>25000</v>
      </c>
      <c r="D13" s="76" t="n">
        <v>9900</v>
      </c>
      <c r="E13" s="76" t="n">
        <f aca="false" ca="false" dt2D="false" dtr="false" t="normal">SUM(B13*(C13+D13))</f>
        <v>17450</v>
      </c>
    </row>
    <row outlineLevel="0" r="14">
      <c r="A14" s="76" t="s">
        <v>89</v>
      </c>
      <c r="B14" s="76" t="n">
        <v>0.5</v>
      </c>
      <c r="C14" s="76" t="n">
        <v>25000</v>
      </c>
      <c r="D14" s="76" t="n">
        <v>9900</v>
      </c>
      <c r="E14" s="76" t="n">
        <f aca="false" ca="false" dt2D="false" dtr="false" t="normal">SUM(B14*(C14+D14))</f>
        <v>17450</v>
      </c>
    </row>
    <row outlineLevel="0" r="15">
      <c r="A15" s="76" t="s">
        <v>70</v>
      </c>
      <c r="B15" s="76" t="n">
        <v>13</v>
      </c>
      <c r="C15" s="76" t="n"/>
      <c r="D15" s="76" t="n"/>
      <c r="E15" s="76" t="n">
        <f aca="false" ca="false" dt2D="false" dtr="false" t="normal">SUM(E3:E14)</f>
        <v>418800</v>
      </c>
    </row>
    <row outlineLevel="0" r="17">
      <c r="A17" s="0" t="s">
        <v>90</v>
      </c>
    </row>
    <row outlineLevel="0" r="19">
      <c r="A19" s="78" t="s">
        <v>91</v>
      </c>
    </row>
    <row outlineLevel="0" r="20">
      <c r="A20" s="79" t="n">
        <v>89097772414</v>
      </c>
    </row>
    <row outlineLevel="0" r="22">
      <c r="A22" s="0" t="s">
        <v>92</v>
      </c>
    </row>
    <row outlineLevel="0" r="24">
      <c r="A24" s="0" t="s">
        <v>93</v>
      </c>
    </row>
    <row outlineLevel="0" r="26">
      <c r="A26" s="66" t="s">
        <v>57</v>
      </c>
    </row>
  </sheetData>
  <pageMargins bottom="0.590551555156708" footer="0.300000011920929" header="0.300000011920929" left="0.590551555156708" right="0.590551555156708" top="0.590551555156708"/>
  <pageSetup fitToHeight="0" fitToWidth="0" orientation="landscape" paperHeight="297.1798mm" paperSize="9" paperWidth="210.0438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2026-10-06T21:53:22Z</dcterms:modified>
</cp:coreProperties>
</file>