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88" windowWidth="22716" windowHeight="8676" activeTab="1"/>
  </bookViews>
  <sheets>
    <sheet name="смета " sheetId="1" r:id="rId1"/>
    <sheet name="смета -600 р." sheetId="2" r:id="rId2"/>
    <sheet name="зплата" sheetId="3" r:id="rId3"/>
    <sheet name="ремонт дорог " sheetId="4" r:id="rId4"/>
  </sheets>
  <calcPr calcId="125725"/>
</workbook>
</file>

<file path=xl/calcChain.xml><?xml version="1.0" encoding="utf-8"?>
<calcChain xmlns="http://schemas.openxmlformats.org/spreadsheetml/2006/main">
  <c r="B19" i="4"/>
  <c r="E14"/>
  <c r="E13"/>
  <c r="E12"/>
  <c r="E11"/>
  <c r="E10"/>
  <c r="E9"/>
  <c r="E8"/>
  <c r="E7"/>
  <c r="E6"/>
  <c r="E5"/>
  <c r="E4"/>
  <c r="E3"/>
  <c r="E15" s="1"/>
  <c r="B11" i="3"/>
  <c r="D10"/>
  <c r="D11" s="1"/>
  <c r="D7"/>
  <c r="E6"/>
  <c r="D6"/>
  <c r="E5"/>
  <c r="D5"/>
  <c r="D4" s="1"/>
  <c r="E4"/>
  <c r="E9" s="1"/>
  <c r="B4"/>
  <c r="B52" i="2"/>
  <c r="B51"/>
  <c r="B31"/>
  <c r="C29"/>
  <c r="B28"/>
  <c r="C28" s="1"/>
  <c r="C27"/>
  <c r="B27"/>
  <c r="C21"/>
  <c r="B21"/>
  <c r="B43" s="1"/>
  <c r="B19"/>
  <c r="C19" s="1"/>
  <c r="C18"/>
  <c r="B18"/>
  <c r="C17"/>
  <c r="C24" s="1"/>
  <c r="B17"/>
  <c r="B16"/>
  <c r="B24" s="1"/>
  <c r="B33" s="1"/>
  <c r="B13"/>
  <c r="B52" i="1"/>
  <c r="B51"/>
  <c r="B31"/>
  <c r="C29"/>
  <c r="C28"/>
  <c r="B28"/>
  <c r="C27"/>
  <c r="C31" s="1"/>
  <c r="B27"/>
  <c r="C21"/>
  <c r="B21"/>
  <c r="B43" s="1"/>
  <c r="B19"/>
  <c r="C19" s="1"/>
  <c r="C18"/>
  <c r="B18"/>
  <c r="C17"/>
  <c r="B17"/>
  <c r="B16"/>
  <c r="B24" s="1"/>
  <c r="B33" s="1"/>
  <c r="B13"/>
  <c r="B38" i="2" l="1"/>
  <c r="B38" i="1"/>
  <c r="B50" i="2"/>
  <c r="B50" i="1"/>
  <c r="B53" i="2"/>
  <c r="B53" i="1"/>
  <c r="B41" i="2"/>
  <c r="B41" i="1"/>
  <c r="C24"/>
  <c r="C33" s="1"/>
  <c r="C31" i="2"/>
  <c r="C33" s="1"/>
  <c r="D9" i="3"/>
  <c r="B8"/>
  <c r="D8" s="1"/>
  <c r="B55" i="2" l="1"/>
  <c r="B37" i="1"/>
  <c r="B46" s="1"/>
  <c r="B37" i="2"/>
  <c r="B46" s="1"/>
  <c r="B9" i="3"/>
  <c r="B55" i="1"/>
  <c r="B56" l="1"/>
  <c r="B56" i="2"/>
  <c r="B57" i="1" l="1"/>
  <c r="B60"/>
  <c r="C60"/>
  <c r="B57" i="2"/>
  <c r="B60"/>
  <c r="C60"/>
</calcChain>
</file>

<file path=xl/sharedStrings.xml><?xml version="1.0" encoding="utf-8"?>
<sst xmlns="http://schemas.openxmlformats.org/spreadsheetml/2006/main" count="136" uniqueCount="86">
  <si>
    <t>Утверждена на общем собрании членов</t>
  </si>
  <si>
    <t>(собрании уполномоченных) СНТ «Лесное»</t>
  </si>
  <si>
    <t>Протокол № б/н от «08» января 2023 года</t>
  </si>
  <si>
    <t>М.П.</t>
  </si>
  <si>
    <t>ПРОЕКТ</t>
  </si>
  <si>
    <t>из расчета 400 руб. за сотку</t>
  </si>
  <si>
    <t>Поступления за минусом неуплаты</t>
  </si>
  <si>
    <t>Поступления по видам обязательных платежей (руб.)</t>
  </si>
  <si>
    <t>площадь, занимаемая земельными участками членами СНТ</t>
  </si>
  <si>
    <t>площадь, занимаемая земельными участками для расчетов всего</t>
  </si>
  <si>
    <t>Итого площадь СНТ для расчетов</t>
  </si>
  <si>
    <t>Раздел 1. Членские взносы, вступительные взносы</t>
  </si>
  <si>
    <t xml:space="preserve">1. Остаток средств на 01.01.2023 г. </t>
  </si>
  <si>
    <t>2. Задолженность по ФОТ</t>
  </si>
  <si>
    <t xml:space="preserve">2. Долги по членским взносам за прошлые периоды (на 01.01.2023)/ - 21% неуплаты </t>
  </si>
  <si>
    <t>3. Долг по дополнительному взносу на капитальный ремонт дорог (2000 руб.) за 2019 г. на 01.01.2023 г./ - 80% неуплаты</t>
  </si>
  <si>
    <t>4. Членские взносы за 2023 г. 400 руб. (-21% неуплаты)</t>
  </si>
  <si>
    <t>5. долг плата потребленную эл/энергию</t>
  </si>
  <si>
    <t xml:space="preserve">6. Прочие доходы ( % за просрочку уплаты взносов)/ - 90% неуплаты  </t>
  </si>
  <si>
    <t>Итого доходов по разделу 1: __________________________________</t>
  </si>
  <si>
    <t>Раздел 2. Целевые поступления на содержание инфраструктуры и территории</t>
  </si>
  <si>
    <t>7. Долги за прошлые периоды (3 года) по оплате за пользование объектами инфраструктуры/ - 65% неуплаты</t>
  </si>
  <si>
    <t>8. Плата за пользование объектами  инфраструктуры  индивидуальными садоводами СНТ на 2023 г. - 65% неуплаты</t>
  </si>
  <si>
    <t xml:space="preserve">9. Прочие доходы (в т.ч. возврат от Коклюхиной и взыскание по выигранным искам, возмещение судебных расходов, госпошлины) </t>
  </si>
  <si>
    <t>Итого доходов по разделу 2: ________________________________________</t>
  </si>
  <si>
    <t>ВСЕГО поступлений (сумма разделов 1,2): _______________________________</t>
  </si>
  <si>
    <t>Формирование эксплуатационного фонда (расходы СНТ)</t>
  </si>
  <si>
    <t>Раздел 4. Расходы по хозяйственной деятельности</t>
  </si>
  <si>
    <t>1. Фонд оплаты по трудовым договорам работников (т.ч. проезд), с учетом страховых взносов</t>
  </si>
  <si>
    <t>2. Компенсация за использование личного автомобиля и иного имущества</t>
  </si>
  <si>
    <t xml:space="preserve">3. Оплата по гражданско-правовым договорам( в том числе юридические услуги) </t>
  </si>
  <si>
    <t xml:space="preserve">4. Организационные расходы (канцелярские, связь, программное обеспечение, проведение собраний) </t>
  </si>
  <si>
    <t>5. Банковские расходы (комиссия по электронным платежам)</t>
  </si>
  <si>
    <t>6. Налог на землю</t>
  </si>
  <si>
    <t>7. Налог по УСН</t>
  </si>
  <si>
    <t xml:space="preserve">8. Резервный фонд на непредвиденные расходы (в т.ч. штрафы, пени, судебные издержки, др.) </t>
  </si>
  <si>
    <t xml:space="preserve">Итого расходов по разделу 4: </t>
  </si>
  <si>
    <t>Радел 5. Целевые расходы на содержание инфраструктуры</t>
  </si>
  <si>
    <t>и территории</t>
  </si>
  <si>
    <t xml:space="preserve">9. Ремонт и содержание дорог </t>
  </si>
  <si>
    <t>10. Вывоз мусора 8,333334 куб.м (4,2 куб. м*3(контейнера))*685,35 руб. до 30.06.2024 с 01.07.2024 - 939,32</t>
  </si>
  <si>
    <t>11. Расходы на содержание имущества (расходы по содержанию сторожки: электроэнергия 240 Квт, тариф 4-53 руб., расходы по транспортировке эл/энергии с учетом фактических потерь 3,6%.)</t>
  </si>
  <si>
    <t xml:space="preserve">12. Уборка территории </t>
  </si>
  <si>
    <t xml:space="preserve">Итого расходов по разделу 5: </t>
  </si>
  <si>
    <t>Всего расходов</t>
  </si>
  <si>
    <t xml:space="preserve">В том числе На человека расходы из расчета на 1 сотку </t>
  </si>
  <si>
    <t>Разница между доходами и расходами +профицит/ - дефицит</t>
  </si>
  <si>
    <t>из расчета 600 руб. за сотку</t>
  </si>
  <si>
    <t>Приложение к смете 1</t>
  </si>
  <si>
    <t>Фонд оплаты труда СНТ</t>
  </si>
  <si>
    <t>в м-ц</t>
  </si>
  <si>
    <t>компенсация за использование личного автомобиля</t>
  </si>
  <si>
    <t>з/плата за год</t>
  </si>
  <si>
    <t>компенсация за год</t>
  </si>
  <si>
    <t>Итого в м-ц</t>
  </si>
  <si>
    <t>з/плата всего, с т.ч.</t>
  </si>
  <si>
    <t>председатель</t>
  </si>
  <si>
    <t>бухгалтер</t>
  </si>
  <si>
    <t>Администратор сайта</t>
  </si>
  <si>
    <t>Страховые взносы</t>
  </si>
  <si>
    <t>Итого</t>
  </si>
  <si>
    <t>уборщик территории по трудовому договору работа 3 раза в месяц</t>
  </si>
  <si>
    <t>Потребность в ремонте дорог СНТ "Лесное"</t>
  </si>
  <si>
    <t>1 вариант</t>
  </si>
  <si>
    <t>кол-во машин</t>
  </si>
  <si>
    <t>цена за одну машину щебня</t>
  </si>
  <si>
    <t>стоимость работ по расчистке</t>
  </si>
  <si>
    <t>стоимость подсыпки</t>
  </si>
  <si>
    <t>ул. Лесная</t>
  </si>
  <si>
    <t>пер. Лесной</t>
  </si>
  <si>
    <t>пер. Болотный</t>
  </si>
  <si>
    <t>ул. Центральная</t>
  </si>
  <si>
    <t>пер. Грушевый</t>
  </si>
  <si>
    <t>пер. Зеленый</t>
  </si>
  <si>
    <t>пер. Солнечный</t>
  </si>
  <si>
    <t>пер. Яблочный</t>
  </si>
  <si>
    <t>ул. Садовая</t>
  </si>
  <si>
    <t>пер. Садовый</t>
  </si>
  <si>
    <t>пер. Земляничный</t>
  </si>
  <si>
    <t>Дубки</t>
  </si>
  <si>
    <t>асфальтная крошка 500 руб. за тонну, для расчета транспортное средство 30 тонн</t>
  </si>
  <si>
    <t>500*30=</t>
  </si>
  <si>
    <t>Председатель собрания Дягилев С.Ю. (                                           )</t>
  </si>
  <si>
    <t>Секретарь собрания Игонин А.Ю.                            )</t>
  </si>
  <si>
    <t xml:space="preserve">Приходно-расходная смета СНТ «Лесное» на 2024 год </t>
  </si>
  <si>
    <t>Секретарь собрания Игонин А.Ю.(                               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</si>
</sst>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sz val="11"/>
      <color theme="1"/>
      <name val="Calibri"/>
      <scheme val="minor"/>
    </font>
    <font>
      <sz val="12"/>
      <color rgb="FF000000"/>
      <name val="Times New Roman"/>
    </font>
    <font>
      <sz val="12"/>
      <name val="Times New Roman"/>
    </font>
    <font>
      <b/>
      <sz val="12"/>
      <color rgb="FFFF0000"/>
      <name val="Times New Roman"/>
    </font>
    <font>
      <b/>
      <sz val="12"/>
      <name val="Times New Roman"/>
    </font>
    <font>
      <b/>
      <sz val="11"/>
      <color rgb="FF000000"/>
      <name val="Calibri"/>
    </font>
    <font>
      <b/>
      <sz val="12"/>
      <color rgb="FF00000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right"/>
    </xf>
    <xf numFmtId="0" fontId="3" fillId="0" borderId="4" xfId="0" applyNumberFormat="1" applyFont="1" applyBorder="1"/>
    <xf numFmtId="4" fontId="3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3" fillId="0" borderId="4" xfId="0" applyNumberFormat="1" applyFont="1" applyBorder="1"/>
    <xf numFmtId="4" fontId="2" fillId="0" borderId="4" xfId="0" applyNumberFormat="1" applyFont="1" applyBorder="1"/>
    <xf numFmtId="0" fontId="5" fillId="0" borderId="4" xfId="0" applyNumberFormat="1" applyFont="1" applyBorder="1"/>
    <xf numFmtId="4" fontId="5" fillId="0" borderId="4" xfId="0" applyNumberFormat="1" applyFont="1" applyBorder="1"/>
    <xf numFmtId="0" fontId="3" fillId="0" borderId="4" xfId="0" applyNumberFormat="1" applyFont="1" applyBorder="1" applyAlignment="1">
      <alignment wrapText="1"/>
    </xf>
    <xf numFmtId="0" fontId="6" fillId="0" borderId="0" xfId="0" applyNumberFormat="1" applyFont="1"/>
    <xf numFmtId="4" fontId="7" fillId="0" borderId="4" xfId="0" applyNumberFormat="1" applyFont="1" applyBorder="1"/>
    <xf numFmtId="0" fontId="1" fillId="0" borderId="0" xfId="0" applyNumberFormat="1" applyFont="1" applyAlignment="1">
      <alignment vertical="top"/>
    </xf>
    <xf numFmtId="0" fontId="3" fillId="0" borderId="4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0" fontId="5" fillId="0" borderId="4" xfId="0" applyNumberFormat="1" applyFont="1" applyBorder="1" applyAlignment="1">
      <alignment wrapText="1"/>
    </xf>
    <xf numFmtId="0" fontId="2" fillId="0" borderId="0" xfId="0" applyNumberFormat="1" applyFont="1"/>
    <xf numFmtId="2" fontId="3" fillId="0" borderId="0" xfId="0" applyNumberFormat="1" applyFont="1"/>
    <xf numFmtId="0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/>
    <xf numFmtId="0" fontId="2" fillId="0" borderId="4" xfId="0" applyNumberFormat="1" applyFont="1" applyBorder="1" applyAlignment="1">
      <alignment vertical="top" wrapText="1"/>
    </xf>
    <xf numFmtId="2" fontId="8" fillId="0" borderId="4" xfId="0" applyNumberFormat="1" applyFont="1" applyBorder="1"/>
    <xf numFmtId="0" fontId="8" fillId="0" borderId="0" xfId="0" applyNumberFormat="1" applyFont="1"/>
    <xf numFmtId="0" fontId="3" fillId="0" borderId="4" xfId="0" applyNumberFormat="1" applyFont="1" applyBorder="1" applyAlignment="1">
      <alignment vertical="center"/>
    </xf>
    <xf numFmtId="0" fontId="2" fillId="0" borderId="4" xfId="0" applyNumberFormat="1" applyFont="1" applyBorder="1"/>
    <xf numFmtId="2" fontId="1" fillId="0" borderId="0" xfId="0" applyNumberFormat="1" applyFont="1"/>
    <xf numFmtId="0" fontId="1" fillId="0" borderId="4" xfId="0" applyNumberFormat="1" applyFont="1" applyBorder="1"/>
    <xf numFmtId="0" fontId="1" fillId="0" borderId="4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workbookViewId="0">
      <selection activeCell="A8" sqref="A8:C8"/>
    </sheetView>
  </sheetViews>
  <sheetFormatPr defaultColWidth="9.109375" defaultRowHeight="15.6"/>
  <cols>
    <col min="1" max="1" width="73.6640625" customWidth="1"/>
    <col min="2" max="2" width="22.33203125" style="1" customWidth="1"/>
    <col min="3" max="3" width="24.44140625" style="2" customWidth="1"/>
    <col min="4" max="4" width="9" bestFit="1" customWidth="1"/>
  </cols>
  <sheetData>
    <row r="1" spans="1:3">
      <c r="A1" s="3" t="s">
        <v>0</v>
      </c>
      <c r="B1" s="4"/>
    </row>
    <row r="2" spans="1:3">
      <c r="A2" s="3" t="s">
        <v>1</v>
      </c>
      <c r="B2" s="4"/>
    </row>
    <row r="3" spans="1:3">
      <c r="A3" s="3" t="s">
        <v>2</v>
      </c>
      <c r="B3" s="4"/>
    </row>
    <row r="4" spans="1:3">
      <c r="A4" s="3" t="s">
        <v>82</v>
      </c>
      <c r="B4" s="4"/>
    </row>
    <row r="5" spans="1:3">
      <c r="A5" s="3" t="s">
        <v>83</v>
      </c>
      <c r="B5" s="4"/>
    </row>
    <row r="6" spans="1:3">
      <c r="A6" s="3" t="s">
        <v>3</v>
      </c>
      <c r="B6" s="4"/>
    </row>
    <row r="7" spans="1:3">
      <c r="A7" s="5" t="s">
        <v>4</v>
      </c>
      <c r="B7" s="4"/>
    </row>
    <row r="8" spans="1:3">
      <c r="A8" s="33" t="s">
        <v>84</v>
      </c>
      <c r="B8" s="34"/>
      <c r="C8" s="35"/>
    </row>
    <row r="9" spans="1:3" ht="31.2">
      <c r="A9" s="6"/>
      <c r="B9" s="7" t="s">
        <v>5</v>
      </c>
      <c r="C9" s="8" t="s">
        <v>6</v>
      </c>
    </row>
    <row r="10" spans="1:3">
      <c r="A10" s="6" t="s">
        <v>7</v>
      </c>
      <c r="B10" s="9"/>
      <c r="C10" s="10"/>
    </row>
    <row r="11" spans="1:3">
      <c r="A11" s="6" t="s">
        <v>8</v>
      </c>
      <c r="B11" s="9">
        <v>62307</v>
      </c>
      <c r="C11" s="9"/>
    </row>
    <row r="12" spans="1:3">
      <c r="A12" s="6" t="s">
        <v>9</v>
      </c>
      <c r="B12" s="9">
        <v>65585</v>
      </c>
      <c r="C12" s="9"/>
    </row>
    <row r="13" spans="1:3">
      <c r="A13" s="11" t="s">
        <v>10</v>
      </c>
      <c r="B13" s="12">
        <f>SUM(B11:B12)</f>
        <v>127892</v>
      </c>
      <c r="C13" s="12"/>
    </row>
    <row r="14" spans="1:3">
      <c r="A14" s="6" t="s">
        <v>11</v>
      </c>
      <c r="B14" s="9"/>
      <c r="C14" s="8"/>
    </row>
    <row r="15" spans="1:3">
      <c r="A15" s="6" t="s">
        <v>12</v>
      </c>
      <c r="B15" s="9">
        <v>0</v>
      </c>
      <c r="C15" s="9"/>
    </row>
    <row r="16" spans="1:3">
      <c r="A16" s="6" t="s">
        <v>13</v>
      </c>
      <c r="B16" s="9">
        <f>-22320-2331.66</f>
        <v>-24651.66</v>
      </c>
      <c r="C16" s="9"/>
    </row>
    <row r="17" spans="1:3" ht="31.2">
      <c r="A17" s="13" t="s">
        <v>14</v>
      </c>
      <c r="B17" s="9">
        <f>99945.8</f>
        <v>99945.8</v>
      </c>
      <c r="C17" s="9">
        <f>99945.8/1.21</f>
        <v>82599.834710743802</v>
      </c>
    </row>
    <row r="18" spans="1:3" ht="31.2">
      <c r="A18" s="13" t="s">
        <v>15</v>
      </c>
      <c r="B18" s="9">
        <f>51690.64</f>
        <v>51690.64</v>
      </c>
      <c r="C18" s="9">
        <f>51690.64/1.8</f>
        <v>28717.022222222222</v>
      </c>
    </row>
    <row r="19" spans="1:3">
      <c r="A19" s="6" t="s">
        <v>16</v>
      </c>
      <c r="B19" s="9">
        <f>SUM(B11*400/100)</f>
        <v>249228</v>
      </c>
      <c r="C19" s="10">
        <f>SUM(B19/1.21)</f>
        <v>205973.55371900828</v>
      </c>
    </row>
    <row r="20" spans="1:3">
      <c r="A20" s="6" t="s">
        <v>17</v>
      </c>
      <c r="B20" s="9">
        <v>6410</v>
      </c>
      <c r="C20" s="10"/>
    </row>
    <row r="21" spans="1:3" ht="16.2" customHeight="1">
      <c r="A21" s="6" t="s">
        <v>18</v>
      </c>
      <c r="B21" s="9">
        <f>70256.89</f>
        <v>70256.89</v>
      </c>
      <c r="C21" s="9">
        <f>70256.89/1.9</f>
        <v>36977.310526315792</v>
      </c>
    </row>
    <row r="22" spans="1:3">
      <c r="A22" s="6"/>
      <c r="B22" s="9"/>
      <c r="C22" s="10"/>
    </row>
    <row r="23" spans="1:3">
      <c r="A23" s="6"/>
      <c r="B23" s="9"/>
      <c r="C23" s="10"/>
    </row>
    <row r="24" spans="1:3" s="14" customFormat="1">
      <c r="A24" s="11" t="s">
        <v>19</v>
      </c>
      <c r="B24" s="12">
        <f>SUM(B15:B23)</f>
        <v>452879.67000000004</v>
      </c>
      <c r="C24" s="12">
        <f>SUM(C15:C23)</f>
        <v>354267.72117829008</v>
      </c>
    </row>
    <row r="25" spans="1:3">
      <c r="A25" s="6"/>
      <c r="B25" s="9"/>
      <c r="C25" s="10"/>
    </row>
    <row r="26" spans="1:3">
      <c r="A26" s="6" t="s">
        <v>20</v>
      </c>
      <c r="B26" s="9"/>
      <c r="C26" s="10"/>
    </row>
    <row r="27" spans="1:3" ht="31.2">
      <c r="A27" s="13" t="s">
        <v>21</v>
      </c>
      <c r="B27" s="9">
        <f>471388.16</f>
        <v>471388.15999999997</v>
      </c>
      <c r="C27" s="9">
        <f>471388.16/1.65</f>
        <v>285689.79393939395</v>
      </c>
    </row>
    <row r="28" spans="1:3" ht="31.2" customHeight="1">
      <c r="A28" s="13" t="s">
        <v>22</v>
      </c>
      <c r="B28" s="9">
        <f>SUM(B12*400/100)</f>
        <v>262340</v>
      </c>
      <c r="C28" s="10">
        <f>SUM(B28/1.65)</f>
        <v>158993.93939393939</v>
      </c>
    </row>
    <row r="29" spans="1:3" ht="31.2">
      <c r="A29" s="13" t="s">
        <v>23</v>
      </c>
      <c r="B29" s="9">
        <v>48181.8</v>
      </c>
      <c r="C29" s="10">
        <f>SUM(B29)</f>
        <v>48181.8</v>
      </c>
    </row>
    <row r="30" spans="1:3">
      <c r="A30" s="6"/>
      <c r="B30" s="9"/>
      <c r="C30" s="10"/>
    </row>
    <row r="31" spans="1:3" s="14" customFormat="1">
      <c r="A31" s="11" t="s">
        <v>24</v>
      </c>
      <c r="B31" s="12">
        <f>SUM(B27:B29)</f>
        <v>781909.96</v>
      </c>
      <c r="C31" s="12">
        <f>SUM(C27:C29)</f>
        <v>492865.53333333333</v>
      </c>
    </row>
    <row r="32" spans="1:3" s="14" customFormat="1">
      <c r="A32" s="11"/>
      <c r="B32" s="12"/>
      <c r="C32" s="15"/>
    </row>
    <row r="33" spans="1:3" s="14" customFormat="1">
      <c r="A33" s="11" t="s">
        <v>25</v>
      </c>
      <c r="B33" s="12">
        <f>SUM(B24+B31)</f>
        <v>1234789.6299999999</v>
      </c>
      <c r="C33" s="12">
        <f>SUM(C24+C31)</f>
        <v>847133.25451162341</v>
      </c>
    </row>
    <row r="34" spans="1:3" ht="24" customHeight="1">
      <c r="A34" s="6" t="s">
        <v>26</v>
      </c>
      <c r="B34" s="7"/>
      <c r="C34" s="10"/>
    </row>
    <row r="35" spans="1:3">
      <c r="A35" s="6"/>
      <c r="B35" s="10"/>
      <c r="C35" s="10"/>
    </row>
    <row r="36" spans="1:3">
      <c r="A36" s="6" t="s">
        <v>27</v>
      </c>
      <c r="B36" s="10"/>
      <c r="C36" s="10"/>
    </row>
    <row r="37" spans="1:3" ht="31.2">
      <c r="A37" s="13" t="s">
        <v>28</v>
      </c>
      <c r="B37" s="10">
        <f>SUM(зплата!D9)</f>
        <v>234360</v>
      </c>
      <c r="C37" s="10"/>
    </row>
    <row r="38" spans="1:3">
      <c r="A38" s="6" t="s">
        <v>29</v>
      </c>
      <c r="B38" s="10">
        <f>SUM(зплата!E9)</f>
        <v>108000</v>
      </c>
      <c r="C38" s="10"/>
    </row>
    <row r="39" spans="1:3" ht="31.2">
      <c r="A39" s="13" t="s">
        <v>30</v>
      </c>
      <c r="B39" s="9">
        <v>60000</v>
      </c>
      <c r="C39" s="10"/>
    </row>
    <row r="40" spans="1:3" ht="31.2">
      <c r="A40" s="13" t="s">
        <v>31</v>
      </c>
      <c r="B40" s="9">
        <v>33000</v>
      </c>
      <c r="C40" s="10"/>
    </row>
    <row r="41" spans="1:3">
      <c r="A41" s="13" t="s">
        <v>32</v>
      </c>
      <c r="B41" s="9">
        <f>SUM(B33*2%)+20000</f>
        <v>44695.792600000001</v>
      </c>
      <c r="C41" s="10"/>
    </row>
    <row r="42" spans="1:3">
      <c r="A42" s="6" t="s">
        <v>33</v>
      </c>
      <c r="B42" s="9">
        <v>0</v>
      </c>
      <c r="C42" s="10"/>
    </row>
    <row r="43" spans="1:3">
      <c r="A43" s="6" t="s">
        <v>34</v>
      </c>
      <c r="B43" s="9">
        <f>SUM(B21*15%)</f>
        <v>10538.5335</v>
      </c>
      <c r="C43" s="10"/>
    </row>
    <row r="44" spans="1:3" ht="31.2">
      <c r="A44" s="13" t="s">
        <v>35</v>
      </c>
      <c r="B44" s="9">
        <v>18000</v>
      </c>
      <c r="C44" s="10"/>
    </row>
    <row r="45" spans="1:3">
      <c r="A45" s="6"/>
      <c r="B45" s="10"/>
      <c r="C45" s="10"/>
    </row>
    <row r="46" spans="1:3" s="14" customFormat="1">
      <c r="A46" s="11" t="s">
        <v>36</v>
      </c>
      <c r="B46" s="12">
        <f>SUM(B37:B44)</f>
        <v>508594.32610000001</v>
      </c>
      <c r="C46" s="15"/>
    </row>
    <row r="47" spans="1:3" s="14" customFormat="1">
      <c r="A47" s="11"/>
      <c r="B47" s="12"/>
      <c r="C47" s="15"/>
    </row>
    <row r="48" spans="1:3">
      <c r="A48" s="6" t="s">
        <v>37</v>
      </c>
      <c r="B48" s="10"/>
      <c r="C48" s="10"/>
    </row>
    <row r="49" spans="1:3">
      <c r="A49" s="6" t="s">
        <v>38</v>
      </c>
      <c r="B49" s="10"/>
      <c r="C49" s="10"/>
    </row>
    <row r="50" spans="1:3">
      <c r="A50" s="6" t="s">
        <v>39</v>
      </c>
      <c r="B50" s="10">
        <f>SUM('ремонт дорог '!E15)</f>
        <v>270000</v>
      </c>
      <c r="C50" s="10"/>
    </row>
    <row r="51" spans="1:3" ht="31.2">
      <c r="A51" s="13" t="s">
        <v>40</v>
      </c>
      <c r="B51" s="9">
        <f>SUM(4.2*3*685.35*6+4.2*3*939.32*6)</f>
        <v>122825.05200000003</v>
      </c>
      <c r="C51" s="9"/>
    </row>
    <row r="52" spans="1:3" s="16" customFormat="1" ht="51" customHeight="1">
      <c r="A52" s="17" t="s">
        <v>41</v>
      </c>
      <c r="B52" s="18">
        <f>SUM(240*4.53*1.036)</f>
        <v>1126.3392000000001</v>
      </c>
      <c r="C52" s="19"/>
    </row>
    <row r="53" spans="1:3">
      <c r="A53" s="13" t="s">
        <v>42</v>
      </c>
      <c r="B53" s="9">
        <f>SUM(зплата!D10+зплата!D11)</f>
        <v>46872</v>
      </c>
      <c r="C53" s="10"/>
    </row>
    <row r="54" spans="1:3">
      <c r="A54" s="6"/>
      <c r="B54" s="10"/>
      <c r="C54" s="10"/>
    </row>
    <row r="55" spans="1:3" s="14" customFormat="1">
      <c r="A55" s="11" t="s">
        <v>43</v>
      </c>
      <c r="B55" s="12">
        <f>SUM(B50:B53)</f>
        <v>440823.39120000001</v>
      </c>
      <c r="C55" s="15"/>
    </row>
    <row r="56" spans="1:3" s="14" customFormat="1">
      <c r="A56" s="11" t="s">
        <v>44</v>
      </c>
      <c r="B56" s="12">
        <f>SUM(B46+B55)</f>
        <v>949417.71730000002</v>
      </c>
      <c r="C56" s="12"/>
    </row>
    <row r="57" spans="1:3" s="14" customFormat="1">
      <c r="A57" s="20" t="s">
        <v>45</v>
      </c>
      <c r="B57" s="12">
        <f>SUM(B56/B13*100)</f>
        <v>742.35895701060269</v>
      </c>
      <c r="C57" s="12"/>
    </row>
    <row r="58" spans="1:3">
      <c r="A58" s="6"/>
      <c r="B58" s="10"/>
      <c r="C58" s="10"/>
    </row>
    <row r="59" spans="1:3">
      <c r="A59" s="6"/>
      <c r="B59" s="10"/>
      <c r="C59" s="10"/>
    </row>
    <row r="60" spans="1:3" s="14" customFormat="1">
      <c r="A60" s="11" t="s">
        <v>46</v>
      </c>
      <c r="B60" s="12">
        <f>SUM(B33-B56)</f>
        <v>285371.91269999987</v>
      </c>
      <c r="C60" s="12">
        <f>SUM(C33-B56)</f>
        <v>-102284.46278837661</v>
      </c>
    </row>
    <row r="61" spans="1:3">
      <c r="A61" s="3"/>
      <c r="B61" s="4"/>
    </row>
    <row r="62" spans="1:3">
      <c r="A62" s="3"/>
      <c r="B62" s="4"/>
    </row>
    <row r="63" spans="1:3">
      <c r="A63" s="3"/>
      <c r="B63" s="4"/>
    </row>
    <row r="64" spans="1:3">
      <c r="A64" s="3"/>
      <c r="B64" s="4"/>
    </row>
    <row r="65" spans="1:2">
      <c r="A65" s="3"/>
      <c r="B65" s="4"/>
    </row>
    <row r="66" spans="1:2">
      <c r="A66" s="3"/>
      <c r="B66" s="4"/>
    </row>
  </sheetData>
  <mergeCells count="1">
    <mergeCell ref="A8:C8"/>
  </mergeCells>
  <pageMargins left="0.51181101799011197" right="0.31496062874794001" top="0.37000000476837203" bottom="0.34000000357627902" header="0.19999998807907099" footer="0.180000007152557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>
      <selection activeCell="B5" sqref="B5"/>
    </sheetView>
  </sheetViews>
  <sheetFormatPr defaultColWidth="9.109375" defaultRowHeight="15.6"/>
  <cols>
    <col min="1" max="1" width="73.6640625" customWidth="1"/>
    <col min="2" max="2" width="22.33203125" style="1" customWidth="1"/>
    <col min="3" max="3" width="24.44140625" style="2" customWidth="1"/>
    <col min="4" max="4" width="9" bestFit="1" customWidth="1"/>
  </cols>
  <sheetData>
    <row r="1" spans="1:3">
      <c r="A1" s="3" t="s">
        <v>0</v>
      </c>
      <c r="B1" s="4"/>
    </row>
    <row r="2" spans="1:3">
      <c r="A2" s="3" t="s">
        <v>1</v>
      </c>
      <c r="B2" s="4"/>
    </row>
    <row r="3" spans="1:3">
      <c r="A3" s="3" t="s">
        <v>2</v>
      </c>
      <c r="B3" s="4"/>
    </row>
    <row r="4" spans="1:3">
      <c r="A4" s="3" t="s">
        <v>82</v>
      </c>
      <c r="B4" s="4"/>
    </row>
    <row r="5" spans="1:3">
      <c r="A5" s="3" t="s">
        <v>85</v>
      </c>
      <c r="B5" s="4"/>
    </row>
    <row r="6" spans="1:3">
      <c r="A6" s="3" t="s">
        <v>3</v>
      </c>
      <c r="B6" s="4"/>
    </row>
    <row r="7" spans="1:3">
      <c r="A7" s="5" t="s">
        <v>4</v>
      </c>
      <c r="B7" s="4"/>
    </row>
    <row r="8" spans="1:3">
      <c r="A8" s="33" t="s">
        <v>84</v>
      </c>
      <c r="B8" s="34"/>
      <c r="C8" s="35"/>
    </row>
    <row r="9" spans="1:3" ht="31.2">
      <c r="A9" s="6"/>
      <c r="B9" s="7" t="s">
        <v>47</v>
      </c>
      <c r="C9" s="8" t="s">
        <v>6</v>
      </c>
    </row>
    <row r="10" spans="1:3">
      <c r="A10" s="6" t="s">
        <v>7</v>
      </c>
      <c r="B10" s="9"/>
      <c r="C10" s="10"/>
    </row>
    <row r="11" spans="1:3">
      <c r="A11" s="6" t="s">
        <v>8</v>
      </c>
      <c r="B11" s="9">
        <v>62307</v>
      </c>
      <c r="C11" s="9"/>
    </row>
    <row r="12" spans="1:3">
      <c r="A12" s="6" t="s">
        <v>9</v>
      </c>
      <c r="B12" s="9">
        <v>65585</v>
      </c>
      <c r="C12" s="9"/>
    </row>
    <row r="13" spans="1:3">
      <c r="A13" s="11" t="s">
        <v>10</v>
      </c>
      <c r="B13" s="12">
        <f>SUM(B11:B12)</f>
        <v>127892</v>
      </c>
      <c r="C13" s="12"/>
    </row>
    <row r="14" spans="1:3">
      <c r="A14" s="6" t="s">
        <v>11</v>
      </c>
      <c r="B14" s="9"/>
      <c r="C14" s="8"/>
    </row>
    <row r="15" spans="1:3">
      <c r="A15" s="6" t="s">
        <v>12</v>
      </c>
      <c r="B15" s="9">
        <v>0</v>
      </c>
      <c r="C15" s="9"/>
    </row>
    <row r="16" spans="1:3">
      <c r="A16" s="6" t="s">
        <v>13</v>
      </c>
      <c r="B16" s="9">
        <f>-22320-2331.66</f>
        <v>-24651.66</v>
      </c>
      <c r="C16" s="9"/>
    </row>
    <row r="17" spans="1:3" ht="31.2">
      <c r="A17" s="13" t="s">
        <v>14</v>
      </c>
      <c r="B17" s="9">
        <f>99945.8</f>
        <v>99945.8</v>
      </c>
      <c r="C17" s="9">
        <f>99945.8/1.21</f>
        <v>82599.834710743802</v>
      </c>
    </row>
    <row r="18" spans="1:3" ht="31.2">
      <c r="A18" s="13" t="s">
        <v>15</v>
      </c>
      <c r="B18" s="9">
        <f>51690.64</f>
        <v>51690.64</v>
      </c>
      <c r="C18" s="9">
        <f>51690.64/1.8</f>
        <v>28717.022222222222</v>
      </c>
    </row>
    <row r="19" spans="1:3">
      <c r="A19" s="6" t="s">
        <v>16</v>
      </c>
      <c r="B19" s="9">
        <f>SUM(B11*600/100)</f>
        <v>373842</v>
      </c>
      <c r="C19" s="10">
        <f>SUM(B19/1.21)</f>
        <v>308960.3305785124</v>
      </c>
    </row>
    <row r="20" spans="1:3">
      <c r="A20" s="6" t="s">
        <v>17</v>
      </c>
      <c r="B20" s="9">
        <v>6410</v>
      </c>
      <c r="C20" s="10"/>
    </row>
    <row r="21" spans="1:3" ht="16.2" customHeight="1">
      <c r="A21" s="6" t="s">
        <v>18</v>
      </c>
      <c r="B21" s="9">
        <f>70256.89</f>
        <v>70256.89</v>
      </c>
      <c r="C21" s="9">
        <f>70256.89/1.9</f>
        <v>36977.310526315792</v>
      </c>
    </row>
    <row r="22" spans="1:3">
      <c r="A22" s="6"/>
      <c r="B22" s="9"/>
      <c r="C22" s="10"/>
    </row>
    <row r="23" spans="1:3">
      <c r="A23" s="6"/>
      <c r="B23" s="9"/>
      <c r="C23" s="10"/>
    </row>
    <row r="24" spans="1:3" s="14" customFormat="1">
      <c r="A24" s="11" t="s">
        <v>19</v>
      </c>
      <c r="B24" s="12">
        <f>SUM(B15:B23)</f>
        <v>577493.67000000004</v>
      </c>
      <c r="C24" s="12">
        <f>SUM(C15:C23)</f>
        <v>457254.49803779426</v>
      </c>
    </row>
    <row r="25" spans="1:3">
      <c r="A25" s="6"/>
      <c r="B25" s="9"/>
      <c r="C25" s="10"/>
    </row>
    <row r="26" spans="1:3">
      <c r="A26" s="6" t="s">
        <v>20</v>
      </c>
      <c r="B26" s="9"/>
      <c r="C26" s="10"/>
    </row>
    <row r="27" spans="1:3" ht="31.2">
      <c r="A27" s="13" t="s">
        <v>21</v>
      </c>
      <c r="B27" s="9">
        <f>471388.16</f>
        <v>471388.15999999997</v>
      </c>
      <c r="C27" s="9">
        <f>471388.16/1.65</f>
        <v>285689.79393939395</v>
      </c>
    </row>
    <row r="28" spans="1:3" ht="31.2" customHeight="1">
      <c r="A28" s="13" t="s">
        <v>22</v>
      </c>
      <c r="B28" s="9">
        <f>SUM(B12*600/100)</f>
        <v>393510</v>
      </c>
      <c r="C28" s="10">
        <f>SUM(B28/1.65)</f>
        <v>238490.90909090912</v>
      </c>
    </row>
    <row r="29" spans="1:3" ht="31.2">
      <c r="A29" s="13" t="s">
        <v>23</v>
      </c>
      <c r="B29" s="9">
        <v>48181.8</v>
      </c>
      <c r="C29" s="10">
        <f>SUM(B29)</f>
        <v>48181.8</v>
      </c>
    </row>
    <row r="30" spans="1:3">
      <c r="A30" s="6"/>
      <c r="B30" s="9"/>
      <c r="C30" s="10"/>
    </row>
    <row r="31" spans="1:3" s="14" customFormat="1">
      <c r="A31" s="11" t="s">
        <v>24</v>
      </c>
      <c r="B31" s="12">
        <f>SUM(B27:B29)</f>
        <v>913079.96</v>
      </c>
      <c r="C31" s="12">
        <f>SUM(C27:C29)</f>
        <v>572362.50303030305</v>
      </c>
    </row>
    <row r="32" spans="1:3" s="14" customFormat="1">
      <c r="A32" s="11"/>
      <c r="B32" s="12"/>
      <c r="C32" s="15"/>
    </row>
    <row r="33" spans="1:3" s="14" customFormat="1">
      <c r="A33" s="11" t="s">
        <v>25</v>
      </c>
      <c r="B33" s="12">
        <f>SUM(B24+B31)</f>
        <v>1490573.63</v>
      </c>
      <c r="C33" s="12">
        <f>SUM(C24+C31)</f>
        <v>1029617.0010680973</v>
      </c>
    </row>
    <row r="34" spans="1:3" ht="24" customHeight="1">
      <c r="A34" s="6" t="s">
        <v>26</v>
      </c>
      <c r="B34" s="7"/>
      <c r="C34" s="10"/>
    </row>
    <row r="35" spans="1:3">
      <c r="A35" s="6"/>
      <c r="B35" s="10"/>
      <c r="C35" s="10"/>
    </row>
    <row r="36" spans="1:3">
      <c r="A36" s="6" t="s">
        <v>27</v>
      </c>
      <c r="B36" s="10"/>
      <c r="C36" s="10"/>
    </row>
    <row r="37" spans="1:3" ht="31.2">
      <c r="A37" s="13" t="s">
        <v>28</v>
      </c>
      <c r="B37" s="10">
        <f>SUM(зплата!D9)</f>
        <v>234360</v>
      </c>
      <c r="C37" s="10"/>
    </row>
    <row r="38" spans="1:3">
      <c r="A38" s="6" t="s">
        <v>29</v>
      </c>
      <c r="B38" s="10">
        <f>SUM(зплата!E9)</f>
        <v>108000</v>
      </c>
      <c r="C38" s="10"/>
    </row>
    <row r="39" spans="1:3" ht="31.2">
      <c r="A39" s="13" t="s">
        <v>30</v>
      </c>
      <c r="B39" s="9">
        <v>60000</v>
      </c>
      <c r="C39" s="10"/>
    </row>
    <row r="40" spans="1:3" ht="31.2">
      <c r="A40" s="13" t="s">
        <v>31</v>
      </c>
      <c r="B40" s="9">
        <v>33000</v>
      </c>
      <c r="C40" s="10"/>
    </row>
    <row r="41" spans="1:3">
      <c r="A41" s="13" t="s">
        <v>32</v>
      </c>
      <c r="B41" s="9">
        <f>SUM(B33*2%)+20000</f>
        <v>49811.472599999994</v>
      </c>
      <c r="C41" s="10"/>
    </row>
    <row r="42" spans="1:3">
      <c r="A42" s="6" t="s">
        <v>33</v>
      </c>
      <c r="B42" s="9">
        <v>0</v>
      </c>
      <c r="C42" s="10"/>
    </row>
    <row r="43" spans="1:3">
      <c r="A43" s="6" t="s">
        <v>34</v>
      </c>
      <c r="B43" s="9">
        <f>SUM(B21*15%)</f>
        <v>10538.5335</v>
      </c>
      <c r="C43" s="10"/>
    </row>
    <row r="44" spans="1:3" ht="31.2">
      <c r="A44" s="13" t="s">
        <v>35</v>
      </c>
      <c r="B44" s="9">
        <v>18000</v>
      </c>
      <c r="C44" s="10"/>
    </row>
    <row r="45" spans="1:3">
      <c r="A45" s="6"/>
      <c r="B45" s="10"/>
      <c r="C45" s="10"/>
    </row>
    <row r="46" spans="1:3" s="14" customFormat="1">
      <c r="A46" s="11" t="s">
        <v>36</v>
      </c>
      <c r="B46" s="12">
        <f>SUM(B37:B44)</f>
        <v>513710.0061</v>
      </c>
      <c r="C46" s="15"/>
    </row>
    <row r="47" spans="1:3" s="14" customFormat="1">
      <c r="A47" s="11"/>
      <c r="B47" s="12"/>
      <c r="C47" s="15"/>
    </row>
    <row r="48" spans="1:3">
      <c r="A48" s="6" t="s">
        <v>37</v>
      </c>
      <c r="B48" s="10"/>
      <c r="C48" s="10"/>
    </row>
    <row r="49" spans="1:3">
      <c r="A49" s="6" t="s">
        <v>38</v>
      </c>
      <c r="B49" s="10"/>
      <c r="C49" s="10"/>
    </row>
    <row r="50" spans="1:3">
      <c r="A50" s="6" t="s">
        <v>39</v>
      </c>
      <c r="B50" s="10">
        <f>SUM('ремонт дорог '!E15)</f>
        <v>270000</v>
      </c>
      <c r="C50" s="10"/>
    </row>
    <row r="51" spans="1:3" ht="31.2">
      <c r="A51" s="13" t="s">
        <v>40</v>
      </c>
      <c r="B51" s="9">
        <f>SUM(4.2*3*685.35*6+4.2*3*939.32*6)</f>
        <v>122825.05200000003</v>
      </c>
      <c r="C51" s="9"/>
    </row>
    <row r="52" spans="1:3" s="16" customFormat="1" ht="51" customHeight="1">
      <c r="A52" s="17" t="s">
        <v>41</v>
      </c>
      <c r="B52" s="18">
        <f>SUM(240*4.53*1.036)</f>
        <v>1126.3392000000001</v>
      </c>
      <c r="C52" s="19"/>
    </row>
    <row r="53" spans="1:3">
      <c r="A53" s="13" t="s">
        <v>42</v>
      </c>
      <c r="B53" s="9">
        <f>SUM(зплата!D10+зплата!D11)</f>
        <v>46872</v>
      </c>
      <c r="C53" s="10"/>
    </row>
    <row r="54" spans="1:3">
      <c r="A54" s="6"/>
      <c r="B54" s="10"/>
      <c r="C54" s="10"/>
    </row>
    <row r="55" spans="1:3" s="14" customFormat="1">
      <c r="A55" s="11" t="s">
        <v>43</v>
      </c>
      <c r="B55" s="12">
        <f>SUM(B50:B53)</f>
        <v>440823.39120000001</v>
      </c>
      <c r="C55" s="15"/>
    </row>
    <row r="56" spans="1:3" s="14" customFormat="1">
      <c r="A56" s="11" t="s">
        <v>44</v>
      </c>
      <c r="B56" s="12">
        <f>SUM(B46+B55)</f>
        <v>954533.39730000007</v>
      </c>
      <c r="C56" s="12"/>
    </row>
    <row r="57" spans="1:3" s="14" customFormat="1">
      <c r="A57" s="20" t="s">
        <v>45</v>
      </c>
      <c r="B57" s="12">
        <f>SUM(B56/B13*100)</f>
        <v>746.35895701060269</v>
      </c>
      <c r="C57" s="12"/>
    </row>
    <row r="58" spans="1:3">
      <c r="A58" s="6"/>
      <c r="B58" s="10"/>
      <c r="C58" s="10"/>
    </row>
    <row r="59" spans="1:3">
      <c r="A59" s="6"/>
      <c r="B59" s="10"/>
      <c r="C59" s="10"/>
    </row>
    <row r="60" spans="1:3" s="14" customFormat="1">
      <c r="A60" s="11" t="s">
        <v>46</v>
      </c>
      <c r="B60" s="12">
        <f>SUM(B33-B56)</f>
        <v>536040.23269999982</v>
      </c>
      <c r="C60" s="12">
        <f>SUM(C33-B56)</f>
        <v>75083.603768097237</v>
      </c>
    </row>
    <row r="61" spans="1:3">
      <c r="A61" s="3"/>
      <c r="B61" s="4"/>
    </row>
    <row r="62" spans="1:3">
      <c r="A62" s="3"/>
      <c r="B62" s="4"/>
    </row>
    <row r="63" spans="1:3">
      <c r="A63" s="3"/>
      <c r="B63" s="4"/>
    </row>
    <row r="64" spans="1:3">
      <c r="A64" s="3"/>
      <c r="B64" s="4"/>
    </row>
    <row r="65" spans="1:2">
      <c r="A65" s="3"/>
      <c r="B65" s="4"/>
    </row>
    <row r="66" spans="1:2">
      <c r="A66" s="3"/>
      <c r="B66" s="4"/>
    </row>
  </sheetData>
  <mergeCells count="1">
    <mergeCell ref="A8:C8"/>
  </mergeCells>
  <pageMargins left="0.70866137742996205" right="0.70866137742996205" top="0.74803149700164795" bottom="0.74803149700164795" header="0.31496062874794001" footer="0.31496062874794001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/>
  </sheetViews>
  <sheetFormatPr defaultColWidth="9.109375" defaultRowHeight="15.6"/>
  <cols>
    <col min="1" max="1" width="22.109375" customWidth="1"/>
    <col min="2" max="2" width="10.5546875" customWidth="1"/>
    <col min="3" max="3" width="15.33203125" customWidth="1"/>
    <col min="4" max="4" width="17.33203125" customWidth="1"/>
    <col min="5" max="5" width="13.88671875" customWidth="1"/>
    <col min="6" max="6" width="10.5546875" customWidth="1"/>
    <col min="7" max="7" width="11.88671875" customWidth="1"/>
    <col min="8" max="8" width="10.88671875" customWidth="1"/>
    <col min="9" max="9" width="11.5546875" customWidth="1"/>
    <col min="10" max="10" width="11.44140625" customWidth="1"/>
    <col min="11" max="11" width="10.5546875" style="21" customWidth="1"/>
    <col min="12" max="12" width="11" style="21" customWidth="1"/>
  </cols>
  <sheetData>
    <row r="1" spans="1:12">
      <c r="A1" s="3" t="s">
        <v>48</v>
      </c>
      <c r="B1" s="22"/>
      <c r="C1" s="3"/>
      <c r="D1" s="22"/>
      <c r="E1" s="3"/>
      <c r="F1" s="3"/>
      <c r="G1" s="22"/>
      <c r="H1" s="3"/>
      <c r="I1" s="22"/>
      <c r="J1" s="3"/>
    </row>
    <row r="2" spans="1:12">
      <c r="A2" s="3"/>
      <c r="B2" s="22"/>
      <c r="C2" s="3"/>
      <c r="D2" s="22"/>
      <c r="E2" s="3"/>
      <c r="F2" s="3"/>
      <c r="G2" s="22"/>
      <c r="H2" s="3"/>
      <c r="I2" s="22"/>
      <c r="J2" s="3"/>
    </row>
    <row r="3" spans="1:12" ht="111.75" customHeight="1">
      <c r="A3" s="23" t="s">
        <v>49</v>
      </c>
      <c r="B3" s="24" t="s">
        <v>50</v>
      </c>
      <c r="C3" s="25" t="s">
        <v>51</v>
      </c>
      <c r="D3" s="25" t="s">
        <v>52</v>
      </c>
      <c r="E3" s="25" t="s">
        <v>53</v>
      </c>
      <c r="F3" s="26" t="s">
        <v>54</v>
      </c>
      <c r="G3" s="27"/>
      <c r="H3" s="27"/>
      <c r="K3"/>
      <c r="L3"/>
    </row>
    <row r="4" spans="1:12">
      <c r="A4" s="28" t="s">
        <v>55</v>
      </c>
      <c r="B4" s="24">
        <f>SUM(B5:B7)</f>
        <v>15000</v>
      </c>
      <c r="C4" s="29">
        <v>9000</v>
      </c>
      <c r="D4" s="29">
        <f>SUM(D5:D7)</f>
        <v>180000</v>
      </c>
      <c r="E4" s="29">
        <f>SUM(E5:E6)</f>
        <v>108000</v>
      </c>
      <c r="F4" s="26"/>
      <c r="G4" s="27"/>
      <c r="H4" s="27"/>
      <c r="K4"/>
      <c r="L4"/>
    </row>
    <row r="5" spans="1:12">
      <c r="A5" s="28" t="s">
        <v>56</v>
      </c>
      <c r="B5" s="24">
        <v>5500</v>
      </c>
      <c r="C5" s="29">
        <v>4500</v>
      </c>
      <c r="D5" s="29">
        <f>SUM(B5*12)</f>
        <v>66000</v>
      </c>
      <c r="E5" s="29">
        <f>SUM(C5*12)</f>
        <v>54000</v>
      </c>
      <c r="F5" s="26">
        <v>10000</v>
      </c>
      <c r="G5" s="27"/>
      <c r="H5" s="27"/>
      <c r="K5"/>
      <c r="L5"/>
    </row>
    <row r="6" spans="1:12">
      <c r="A6" s="28" t="s">
        <v>57</v>
      </c>
      <c r="B6" s="24">
        <v>5500</v>
      </c>
      <c r="C6" s="29">
        <v>4500</v>
      </c>
      <c r="D6" s="29">
        <f>SUM(B6*12)</f>
        <v>66000</v>
      </c>
      <c r="E6" s="29">
        <f>SUM(C6*12)</f>
        <v>54000</v>
      </c>
      <c r="F6" s="26">
        <v>10000</v>
      </c>
      <c r="K6"/>
      <c r="L6"/>
    </row>
    <row r="7" spans="1:12">
      <c r="A7" s="28" t="s">
        <v>58</v>
      </c>
      <c r="B7" s="24">
        <v>4000</v>
      </c>
      <c r="C7" s="24"/>
      <c r="D7" s="29">
        <f>SUM(B7*12)</f>
        <v>48000</v>
      </c>
      <c r="E7" s="24"/>
      <c r="F7" s="26"/>
      <c r="K7"/>
      <c r="L7"/>
    </row>
    <row r="8" spans="1:12">
      <c r="A8" s="28" t="s">
        <v>59</v>
      </c>
      <c r="B8" s="24">
        <f>SUM(B4*30.2%)</f>
        <v>4530</v>
      </c>
      <c r="C8" s="29"/>
      <c r="D8" s="29">
        <f>SUM(B8*12)</f>
        <v>54360</v>
      </c>
      <c r="E8" s="29"/>
      <c r="F8" s="26"/>
      <c r="K8"/>
      <c r="L8"/>
    </row>
    <row r="9" spans="1:12">
      <c r="A9" s="28" t="s">
        <v>60</v>
      </c>
      <c r="B9" s="24">
        <f>SUM(B4+B8)</f>
        <v>19530</v>
      </c>
      <c r="C9" s="24">
        <v>9000</v>
      </c>
      <c r="D9" s="24">
        <f>SUM(D4+D8)</f>
        <v>234360</v>
      </c>
      <c r="E9" s="24">
        <f>SUM(E4+E8)</f>
        <v>108000</v>
      </c>
      <c r="F9" s="26"/>
      <c r="K9"/>
      <c r="L9"/>
    </row>
    <row r="10" spans="1:12" ht="62.4">
      <c r="A10" s="23" t="s">
        <v>61</v>
      </c>
      <c r="B10" s="24">
        <v>3000</v>
      </c>
      <c r="C10" s="29"/>
      <c r="D10" s="29">
        <f>SUM(B10*12)</f>
        <v>36000</v>
      </c>
      <c r="E10" s="29"/>
      <c r="F10" s="26"/>
      <c r="K10"/>
      <c r="L10"/>
    </row>
    <row r="11" spans="1:12">
      <c r="A11" s="28" t="s">
        <v>59</v>
      </c>
      <c r="B11" s="24">
        <f>SUM(B10*30.2%)</f>
        <v>906</v>
      </c>
      <c r="C11" s="29"/>
      <c r="D11" s="24">
        <f>SUM(D10*30.2%)</f>
        <v>10872</v>
      </c>
      <c r="E11" s="29"/>
      <c r="F11" s="26"/>
      <c r="K11"/>
      <c r="L11"/>
    </row>
    <row r="12" spans="1:12">
      <c r="B12" s="30"/>
      <c r="D12" s="30"/>
      <c r="G12" s="30"/>
      <c r="I12" s="30"/>
    </row>
    <row r="13" spans="1:12" ht="49.2" customHeight="1">
      <c r="A13" s="36"/>
      <c r="B13" s="36"/>
      <c r="C13" s="36"/>
      <c r="D13" s="36"/>
      <c r="E13" s="36"/>
      <c r="G13" s="30"/>
      <c r="I13" s="30"/>
    </row>
    <row r="14" spans="1:12">
      <c r="B14" s="30"/>
      <c r="D14" s="30"/>
      <c r="G14" s="30"/>
      <c r="I14" s="30"/>
    </row>
  </sheetData>
  <mergeCells count="1">
    <mergeCell ref="A13:E1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/>
  </sheetViews>
  <sheetFormatPr defaultColWidth="9.109375" defaultRowHeight="14.4"/>
  <cols>
    <col min="1" max="1" width="20.109375" customWidth="1"/>
    <col min="4" max="4" width="10.5546875" customWidth="1"/>
    <col min="5" max="5" width="14.109375" customWidth="1"/>
  </cols>
  <sheetData>
    <row r="1" spans="1:5">
      <c r="A1" t="s">
        <v>62</v>
      </c>
      <c r="E1" t="s">
        <v>63</v>
      </c>
    </row>
    <row r="2" spans="1:5" ht="55.2" customHeight="1">
      <c r="A2" s="31"/>
      <c r="B2" s="32" t="s">
        <v>64</v>
      </c>
      <c r="C2" s="32" t="s">
        <v>65</v>
      </c>
      <c r="D2" s="32" t="s">
        <v>66</v>
      </c>
      <c r="E2" s="32" t="s">
        <v>67</v>
      </c>
    </row>
    <row r="3" spans="1:5">
      <c r="A3" s="31" t="s">
        <v>68</v>
      </c>
      <c r="B3" s="31">
        <v>3</v>
      </c>
      <c r="C3" s="31">
        <v>17500</v>
      </c>
      <c r="D3" s="31">
        <v>5000</v>
      </c>
      <c r="E3" s="31">
        <f t="shared" ref="E3:E14" si="0">SUM(B3*(C3+D3))</f>
        <v>67500</v>
      </c>
    </row>
    <row r="4" spans="1:5">
      <c r="A4" s="31" t="s">
        <v>69</v>
      </c>
      <c r="B4" s="31">
        <v>0.5</v>
      </c>
      <c r="C4" s="31">
        <v>17500</v>
      </c>
      <c r="D4" s="31">
        <v>5000</v>
      </c>
      <c r="E4" s="31">
        <f t="shared" si="0"/>
        <v>11250</v>
      </c>
    </row>
    <row r="5" spans="1:5">
      <c r="A5" s="31" t="s">
        <v>70</v>
      </c>
      <c r="B5" s="31">
        <v>0.5</v>
      </c>
      <c r="C5" s="31">
        <v>17500</v>
      </c>
      <c r="D5" s="31">
        <v>5000</v>
      </c>
      <c r="E5" s="31">
        <f t="shared" si="0"/>
        <v>11250</v>
      </c>
    </row>
    <row r="6" spans="1:5">
      <c r="A6" s="31" t="s">
        <v>71</v>
      </c>
      <c r="B6" s="31">
        <v>3</v>
      </c>
      <c r="C6" s="31">
        <v>17500</v>
      </c>
      <c r="D6" s="31">
        <v>5000</v>
      </c>
      <c r="E6" s="31">
        <f t="shared" si="0"/>
        <v>67500</v>
      </c>
    </row>
    <row r="7" spans="1:5">
      <c r="A7" s="31" t="s">
        <v>72</v>
      </c>
      <c r="B7" s="31">
        <v>0.5</v>
      </c>
      <c r="C7" s="31">
        <v>17500</v>
      </c>
      <c r="D7" s="31">
        <v>5000</v>
      </c>
      <c r="E7" s="31">
        <f t="shared" si="0"/>
        <v>11250</v>
      </c>
    </row>
    <row r="8" spans="1:5">
      <c r="A8" s="31" t="s">
        <v>73</v>
      </c>
      <c r="B8" s="31">
        <v>0.5</v>
      </c>
      <c r="C8" s="31">
        <v>17500</v>
      </c>
      <c r="D8" s="31">
        <v>5000</v>
      </c>
      <c r="E8" s="31">
        <f t="shared" si="0"/>
        <v>11250</v>
      </c>
    </row>
    <row r="9" spans="1:5">
      <c r="A9" s="31" t="s">
        <v>74</v>
      </c>
      <c r="B9" s="31">
        <v>0.5</v>
      </c>
      <c r="C9" s="31">
        <v>17500</v>
      </c>
      <c r="D9" s="31">
        <v>5000</v>
      </c>
      <c r="E9" s="31">
        <f t="shared" si="0"/>
        <v>11250</v>
      </c>
    </row>
    <row r="10" spans="1:5">
      <c r="A10" s="31" t="s">
        <v>75</v>
      </c>
      <c r="B10" s="31">
        <v>0.5</v>
      </c>
      <c r="C10" s="31">
        <v>17500</v>
      </c>
      <c r="D10" s="31">
        <v>5000</v>
      </c>
      <c r="E10" s="31">
        <f t="shared" si="0"/>
        <v>11250</v>
      </c>
    </row>
    <row r="11" spans="1:5">
      <c r="A11" s="31" t="s">
        <v>76</v>
      </c>
      <c r="B11" s="31">
        <v>1</v>
      </c>
      <c r="C11" s="31">
        <v>17500</v>
      </c>
      <c r="D11" s="31">
        <v>5000</v>
      </c>
      <c r="E11" s="31">
        <f t="shared" si="0"/>
        <v>22500</v>
      </c>
    </row>
    <row r="12" spans="1:5">
      <c r="A12" s="31" t="s">
        <v>77</v>
      </c>
      <c r="B12" s="31">
        <v>1</v>
      </c>
      <c r="C12" s="31">
        <v>17500</v>
      </c>
      <c r="D12" s="31">
        <v>5000</v>
      </c>
      <c r="E12" s="31">
        <f t="shared" si="0"/>
        <v>22500</v>
      </c>
    </row>
    <row r="13" spans="1:5">
      <c r="A13" s="31" t="s">
        <v>78</v>
      </c>
      <c r="B13" s="31">
        <v>0.5</v>
      </c>
      <c r="C13" s="31">
        <v>17500</v>
      </c>
      <c r="D13" s="31">
        <v>5000</v>
      </c>
      <c r="E13" s="31">
        <f t="shared" si="0"/>
        <v>11250</v>
      </c>
    </row>
    <row r="14" spans="1:5">
      <c r="A14" s="31" t="s">
        <v>79</v>
      </c>
      <c r="B14" s="31">
        <v>0.5</v>
      </c>
      <c r="C14" s="31">
        <v>17500</v>
      </c>
      <c r="D14" s="31">
        <v>5000</v>
      </c>
      <c r="E14" s="31">
        <f t="shared" si="0"/>
        <v>11250</v>
      </c>
    </row>
    <row r="15" spans="1:5">
      <c r="A15" s="31" t="s">
        <v>60</v>
      </c>
      <c r="B15" s="31">
        <v>13</v>
      </c>
      <c r="C15" s="31"/>
      <c r="D15" s="31"/>
      <c r="E15" s="31">
        <f>SUM(E3:E14)</f>
        <v>270000</v>
      </c>
    </row>
    <row r="17" spans="1:2">
      <c r="A17" t="s">
        <v>80</v>
      </c>
    </row>
    <row r="19" spans="1:2">
      <c r="A19" t="s">
        <v>81</v>
      </c>
      <c r="B19">
        <f>500*30</f>
        <v>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 </vt:lpstr>
      <vt:lpstr>смета -600 р.</vt:lpstr>
      <vt:lpstr>зплата</vt:lpstr>
      <vt:lpstr>ремонт дорог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Лариса Игонина</cp:lastModifiedBy>
  <dcterms:modified xsi:type="dcterms:W3CDTF">2023-12-22T09:33:10Z</dcterms:modified>
</cp:coreProperties>
</file>